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NielCruy\Desktop\"/>
    </mc:Choice>
  </mc:AlternateContent>
  <xr:revisionPtr revIDLastSave="0" documentId="8_{2F229E7E-5353-43D2-86C9-6AF32BEBEBB1}" xr6:coauthVersionLast="47" xr6:coauthVersionMax="47" xr10:uidLastSave="{00000000-0000-0000-0000-000000000000}"/>
  <bookViews>
    <workbookView xWindow="28680" yWindow="-120" windowWidth="29040" windowHeight="15720" activeTab="1" xr2:uid="{A658D9B3-E8BB-431A-8436-FDFE9E672C4A}"/>
  </bookViews>
  <sheets>
    <sheet name="Invulblad" sheetId="2" r:id="rId1"/>
    <sheet name="Simulato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 l="1"/>
  <c r="J79" i="1"/>
  <c r="D6" i="1"/>
  <c r="D5" i="1"/>
  <c r="D12" i="1" s="1"/>
  <c r="D4" i="1"/>
  <c r="I81" i="1" l="1"/>
  <c r="N81" i="1"/>
  <c r="D19" i="1"/>
  <c r="E73" i="1"/>
  <c r="I73" i="1" s="1"/>
  <c r="E74" i="1"/>
  <c r="E72" i="1"/>
  <c r="E75" i="1"/>
  <c r="E76" i="1"/>
  <c r="E71" i="1"/>
  <c r="D32" i="1"/>
  <c r="D31" i="1"/>
  <c r="D30" i="1"/>
  <c r="D27" i="1"/>
  <c r="D28" i="1"/>
  <c r="D29" i="1"/>
  <c r="D26" i="1"/>
  <c r="D25" i="1"/>
  <c r="D18" i="1"/>
  <c r="D33" i="1"/>
  <c r="D22" i="1"/>
  <c r="D15" i="1"/>
  <c r="D14" i="1"/>
  <c r="D13" i="1"/>
  <c r="D21" i="1"/>
  <c r="D11" i="1"/>
  <c r="D20" i="1"/>
  <c r="D17" i="1"/>
  <c r="D16" i="1"/>
  <c r="J11" i="1"/>
  <c r="D24" i="1"/>
  <c r="D23" i="1"/>
  <c r="D43" i="1"/>
  <c r="J39" i="1"/>
  <c r="I57" i="1"/>
  <c r="I60" i="1"/>
  <c r="I67" i="1"/>
  <c r="J60" i="1"/>
  <c r="J16" i="1"/>
  <c r="J66" i="1"/>
  <c r="J74" i="1" l="1"/>
  <c r="J72" i="1"/>
  <c r="J75" i="1"/>
  <c r="N75" i="1" s="1"/>
  <c r="I72" i="1"/>
  <c r="I71" i="1"/>
  <c r="I76" i="1"/>
  <c r="I75" i="1"/>
  <c r="I74" i="1"/>
  <c r="J65" i="1"/>
  <c r="J64" i="1"/>
  <c r="J63" i="1"/>
  <c r="J76" i="1" s="1"/>
  <c r="N60" i="1"/>
  <c r="J59" i="1"/>
  <c r="J58" i="1"/>
  <c r="J73" i="1" s="1"/>
  <c r="J57" i="1"/>
  <c r="J56" i="1"/>
  <c r="J50" i="1"/>
  <c r="J51" i="1"/>
  <c r="J52" i="1"/>
  <c r="J40" i="1"/>
  <c r="J41" i="1"/>
  <c r="J42" i="1"/>
  <c r="J44" i="1"/>
  <c r="J45" i="1"/>
  <c r="J46" i="1"/>
  <c r="J48" i="1"/>
  <c r="J49" i="1"/>
  <c r="J34" i="1"/>
  <c r="J35" i="1"/>
  <c r="J36" i="1"/>
  <c r="J37" i="1"/>
  <c r="J38" i="1"/>
  <c r="J26" i="1"/>
  <c r="J27" i="1"/>
  <c r="J28" i="1"/>
  <c r="J29" i="1"/>
  <c r="J30" i="1"/>
  <c r="J31" i="1"/>
  <c r="J32" i="1"/>
  <c r="J33" i="1"/>
  <c r="J25" i="1"/>
  <c r="J24" i="1"/>
  <c r="J23" i="1"/>
  <c r="J22" i="1"/>
  <c r="J21" i="1"/>
  <c r="J20" i="1"/>
  <c r="J19" i="1"/>
  <c r="J18" i="1"/>
  <c r="J17" i="1"/>
  <c r="J15" i="1"/>
  <c r="J14" i="1"/>
  <c r="J13" i="1"/>
  <c r="J12" i="1"/>
  <c r="N10" i="1"/>
  <c r="I59" i="1"/>
  <c r="I58" i="1"/>
  <c r="I56" i="1"/>
  <c r="D52" i="1"/>
  <c r="F52" i="1" s="1"/>
  <c r="G52" i="1" s="1"/>
  <c r="D51" i="1"/>
  <c r="F51" i="1" s="1"/>
  <c r="G51" i="1" s="1"/>
  <c r="D50" i="1"/>
  <c r="F50" i="1" s="1"/>
  <c r="G50" i="1" s="1"/>
  <c r="D49" i="1"/>
  <c r="D48" i="1"/>
  <c r="F48" i="1" s="1"/>
  <c r="D47" i="1"/>
  <c r="D46" i="1"/>
  <c r="F46" i="1" s="1"/>
  <c r="G46" i="1" s="1"/>
  <c r="D45" i="1"/>
  <c r="F45" i="1" s="1"/>
  <c r="D44" i="1"/>
  <c r="F44" i="1" s="1"/>
  <c r="G44" i="1" s="1"/>
  <c r="D42" i="1"/>
  <c r="D41" i="1"/>
  <c r="F41" i="1" s="1"/>
  <c r="G41" i="1" s="1"/>
  <c r="D40" i="1"/>
  <c r="D39" i="1"/>
  <c r="D38" i="1"/>
  <c r="F38" i="1" s="1"/>
  <c r="G38" i="1" s="1"/>
  <c r="D37" i="1"/>
  <c r="F37" i="1" s="1"/>
  <c r="G37" i="1" s="1"/>
  <c r="D36" i="1"/>
  <c r="F36" i="1" s="1"/>
  <c r="G36" i="1" s="1"/>
  <c r="D35" i="1"/>
  <c r="D34" i="1"/>
  <c r="F32" i="1"/>
  <c r="G32" i="1" s="1"/>
  <c r="F31" i="1"/>
  <c r="G31" i="1" s="1"/>
  <c r="F30" i="1"/>
  <c r="G30" i="1" s="1"/>
  <c r="F29" i="1"/>
  <c r="G29" i="1" s="1"/>
  <c r="F28" i="1"/>
  <c r="G28" i="1" s="1"/>
  <c r="F27" i="1"/>
  <c r="G27" i="1" s="1"/>
  <c r="F26" i="1"/>
  <c r="G26" i="1" s="1"/>
  <c r="F25" i="1"/>
  <c r="G25" i="1" s="1"/>
  <c r="F22" i="1"/>
  <c r="G22" i="1" s="1"/>
  <c r="F20" i="1"/>
  <c r="G20" i="1" s="1"/>
  <c r="F18" i="1"/>
  <c r="G18" i="1" s="1"/>
  <c r="F14" i="1"/>
  <c r="G14" i="1" s="1"/>
  <c r="F13" i="1"/>
  <c r="G13" i="1" s="1"/>
  <c r="I10" i="1"/>
  <c r="I82" i="1" l="1"/>
  <c r="G48" i="1"/>
  <c r="G45" i="1"/>
  <c r="G43" i="1"/>
  <c r="K34" i="1"/>
  <c r="L34" i="1" s="1"/>
  <c r="F34" i="1"/>
  <c r="G34" i="1" s="1"/>
  <c r="K35" i="1"/>
  <c r="L35" i="1" s="1"/>
  <c r="F35" i="1"/>
  <c r="G35" i="1" s="1"/>
  <c r="N76" i="1"/>
  <c r="N59" i="1"/>
  <c r="N74" i="1"/>
  <c r="N58" i="1"/>
  <c r="N73" i="1"/>
  <c r="N57" i="1"/>
  <c r="N72" i="1"/>
  <c r="N56" i="1"/>
  <c r="J71" i="1"/>
  <c r="N71" i="1" s="1"/>
  <c r="N67" i="1"/>
  <c r="K40" i="1"/>
  <c r="L40" i="1" s="1"/>
  <c r="K24" i="1"/>
  <c r="L24" i="1" s="1"/>
  <c r="K21" i="1"/>
  <c r="L21" i="1" s="1"/>
  <c r="K19" i="1"/>
  <c r="L19" i="1" s="1"/>
  <c r="K23" i="1"/>
  <c r="L23" i="1" s="1"/>
  <c r="K17" i="1"/>
  <c r="L17" i="1" s="1"/>
  <c r="K15" i="1"/>
  <c r="L15" i="1" s="1"/>
  <c r="K16" i="1"/>
  <c r="L16" i="1" s="1"/>
  <c r="K39" i="1"/>
  <c r="L39" i="1" s="1"/>
  <c r="K33" i="1"/>
  <c r="L33" i="1" s="1"/>
  <c r="K42" i="1"/>
  <c r="L42" i="1" s="1"/>
  <c r="K49" i="1"/>
  <c r="L49" i="1" s="1"/>
  <c r="K11" i="1"/>
  <c r="L11" i="1" s="1"/>
  <c r="F21" i="1"/>
  <c r="G21" i="1" s="1"/>
  <c r="K25" i="1"/>
  <c r="L25" i="1" s="1"/>
  <c r="K29" i="1"/>
  <c r="L29" i="1" s="1"/>
  <c r="F17" i="1"/>
  <c r="G17" i="1" s="1"/>
  <c r="F24" i="1"/>
  <c r="G24" i="1" s="1"/>
  <c r="K31" i="1"/>
  <c r="L31" i="1" s="1"/>
  <c r="K41" i="1"/>
  <c r="L41" i="1" s="1"/>
  <c r="F49" i="1"/>
  <c r="G49" i="1" s="1"/>
  <c r="K32" i="1"/>
  <c r="L32" i="1" s="1"/>
  <c r="K36" i="1"/>
  <c r="L36" i="1" s="1"/>
  <c r="F33" i="1"/>
  <c r="G33" i="1" s="1"/>
  <c r="K13" i="1"/>
  <c r="L13" i="1" s="1"/>
  <c r="K52" i="1"/>
  <c r="L52" i="1" s="1"/>
  <c r="F15" i="1"/>
  <c r="G15" i="1" s="1"/>
  <c r="K37" i="1"/>
  <c r="L37" i="1" s="1"/>
  <c r="K45" i="1"/>
  <c r="L45" i="1" s="1"/>
  <c r="F16" i="1"/>
  <c r="G16" i="1" s="1"/>
  <c r="F40" i="1"/>
  <c r="G40" i="1" s="1"/>
  <c r="K18" i="1"/>
  <c r="L18" i="1" s="1"/>
  <c r="F11" i="1"/>
  <c r="F23" i="1"/>
  <c r="G23" i="1" s="1"/>
  <c r="K20" i="1"/>
  <c r="L20" i="1" s="1"/>
  <c r="K30" i="1"/>
  <c r="L30" i="1" s="1"/>
  <c r="F42" i="1"/>
  <c r="G42" i="1" s="1"/>
  <c r="K14" i="1"/>
  <c r="L14" i="1" s="1"/>
  <c r="K22" i="1"/>
  <c r="L22" i="1" s="1"/>
  <c r="K44" i="1"/>
  <c r="K28" i="1"/>
  <c r="L28" i="1" s="1"/>
  <c r="F19" i="1"/>
  <c r="G19" i="1" s="1"/>
  <c r="K48" i="1"/>
  <c r="F39" i="1"/>
  <c r="G39" i="1" s="1"/>
  <c r="K51" i="1"/>
  <c r="L51" i="1" s="1"/>
  <c r="K26" i="1"/>
  <c r="L26" i="1" s="1"/>
  <c r="K38" i="1"/>
  <c r="L38" i="1" s="1"/>
  <c r="K46" i="1"/>
  <c r="L46" i="1" s="1"/>
  <c r="K27" i="1"/>
  <c r="L27" i="1" s="1"/>
  <c r="K50" i="1"/>
  <c r="L50" i="1" s="1"/>
  <c r="N82" i="1" l="1"/>
  <c r="H13" i="1"/>
  <c r="I13" i="1" s="1"/>
  <c r="L48" i="1"/>
  <c r="L47" i="1"/>
  <c r="G47" i="1"/>
  <c r="H36" i="1" s="1"/>
  <c r="I36" i="1" s="1"/>
  <c r="L44" i="1"/>
  <c r="L43" i="1"/>
  <c r="H20" i="1"/>
  <c r="I20" i="1" s="1"/>
  <c r="K12" i="1"/>
  <c r="L12" i="1" s="1"/>
  <c r="M11" i="1" s="1"/>
  <c r="M20" i="1"/>
  <c r="N20" i="1" s="1"/>
  <c r="M13" i="1"/>
  <c r="N13" i="1" s="1"/>
  <c r="G11" i="1"/>
  <c r="F12" i="1"/>
  <c r="G12" i="1" s="1"/>
  <c r="M36" i="1" l="1"/>
  <c r="N36" i="1" s="1"/>
  <c r="H11" i="1"/>
  <c r="N11" i="1"/>
  <c r="M53" i="1"/>
  <c r="N53" i="1" l="1"/>
  <c r="I11" i="1"/>
  <c r="I53" i="1" s="1"/>
  <c r="H53" i="1"/>
</calcChain>
</file>

<file path=xl/sharedStrings.xml><?xml version="1.0" encoding="utf-8"?>
<sst xmlns="http://schemas.openxmlformats.org/spreadsheetml/2006/main" count="93" uniqueCount="79">
  <si>
    <t>Werkingsinfo</t>
  </si>
  <si>
    <t>Tot welke jeugdwerkvorm behoor je?</t>
  </si>
  <si>
    <t>Jeugdbeweging</t>
  </si>
  <si>
    <t>Naam vereniging</t>
  </si>
  <si>
    <t>Invullen op tabblad 'invulblad'</t>
  </si>
  <si>
    <t>Adres vereniging</t>
  </si>
  <si>
    <t>Rekeningnummer vereniging</t>
  </si>
  <si>
    <t>Aan welke functies werkt jullie vereniging?</t>
  </si>
  <si>
    <t>Spel en recreatie</t>
  </si>
  <si>
    <t>Nee</t>
  </si>
  <si>
    <t>Ontmoeting</t>
  </si>
  <si>
    <t>Vorming</t>
  </si>
  <si>
    <t>Amateurkunsten</t>
  </si>
  <si>
    <t>Werken aan maatschappelijke verandering</t>
  </si>
  <si>
    <t>Dienstverlening</t>
  </si>
  <si>
    <t>Kadervorming</t>
  </si>
  <si>
    <t>Creativiteit</t>
  </si>
  <si>
    <t>Gaat jullie vereniging akkoord met het Kinderrechtenverdrag</t>
  </si>
  <si>
    <t>Heeft jullie vereniging een eigen bestuur?</t>
  </si>
  <si>
    <t>Heeft jullie vereniging een eigen kas en bankrekening?</t>
  </si>
  <si>
    <t>Is jullie vereniging gelinkt aan een ander initiatief (organisatie, vereniging, …)</t>
  </si>
  <si>
    <t>Ontvangt jullie vereniging subsidies van een andere overheid (andere stadsdienst, provincie, Vlaamse Gemeenschap, (inter)nationaal?</t>
  </si>
  <si>
    <t>Verantwoordelijken vereniging</t>
  </si>
  <si>
    <t>Naam voorzitter</t>
  </si>
  <si>
    <t>Mailadres voorzitter</t>
  </si>
  <si>
    <t>Naam secretaris</t>
  </si>
  <si>
    <t>Mailadres secretaris</t>
  </si>
  <si>
    <t>Naam penningmeester</t>
  </si>
  <si>
    <t>Mailadres penningmeester</t>
  </si>
  <si>
    <t>Invulfiche subsidies</t>
  </si>
  <si>
    <t>Vereniging</t>
  </si>
  <si>
    <t>Jeugdwerkvorm</t>
  </si>
  <si>
    <t>Rekeningnummer</t>
  </si>
  <si>
    <t>waarde per punt</t>
  </si>
  <si>
    <t>Omschrijving</t>
  </si>
  <si>
    <t>Aantallen</t>
  </si>
  <si>
    <t>Totaal punten</t>
  </si>
  <si>
    <t>Simulatie €</t>
  </si>
  <si>
    <t>Aantallen beoordeling (voor jeugddienst)</t>
  </si>
  <si>
    <t>Definitief totaal punten</t>
  </si>
  <si>
    <t>Definitief €</t>
  </si>
  <si>
    <t>Opmerkingen (voor jeugddienst)</t>
  </si>
  <si>
    <t>Werkingssubsidie</t>
  </si>
  <si>
    <t>Basistoelage</t>
  </si>
  <si>
    <t>Deelnemers</t>
  </si>
  <si>
    <t>Begeleiding</t>
  </si>
  <si>
    <t>Activiteiten</t>
  </si>
  <si>
    <t>Interne organisatie</t>
  </si>
  <si>
    <t>Totaal werkingssubsidie</t>
  </si>
  <si>
    <t>Infrastructuursubsidie</t>
  </si>
  <si>
    <t>Huur &amp; Gebouwkosten</t>
  </si>
  <si>
    <t>Verenigingen die in stadsgebouwen of in gebouwen gehuurd door de Stad Kortrijk zijn gehuisvest, moeten geen tussenkomst betalen voor huurkosten. Verenigingen die een gebouw huren of in eigendom hebben, krijgen huur volledig terugbetaald. Daarnaast kunnen zij ook de kosten inbrengen van brandverzekeringen voor het gebouw, eventuele onroerende voorheffing, patrimoniumtaks en kosten voor keuringen van installaties.</t>
  </si>
  <si>
    <t>Huur</t>
  </si>
  <si>
    <t>Brandverzekering gebouw</t>
  </si>
  <si>
    <t>Roerende voorheffing</t>
  </si>
  <si>
    <t>Patrimoniumtaks, erfpacht of opstalrecht</t>
  </si>
  <si>
    <t>Kosten voor keuringen van installaties</t>
  </si>
  <si>
    <t>Energie</t>
  </si>
  <si>
    <t>De kosten voor het energieverbruik van het afgelopen werkjaar worden voor 80% terugbetaald. De overige 20% van de kosten voor energieverbruik zijn tenlaste van het jeugdwerk.</t>
  </si>
  <si>
    <t>Totaalbedrag gas (voor één werkingsjaar)</t>
  </si>
  <si>
    <t>Totaalbedrag elektriciteit (voor één werkingsjaar)</t>
  </si>
  <si>
    <t>Totaalbedrag water (voor één werkingsjaar)</t>
  </si>
  <si>
    <t>Totaalbedrag gas &amp; elektriciteit (indien samen gefactureerd)</t>
  </si>
  <si>
    <t>Tegemoetkoming vanuit de Stad (80%)</t>
  </si>
  <si>
    <t>Verhuur</t>
  </si>
  <si>
    <t>Weekendverhuur: een jeugdlokaal dat aangeboden wordt voor verhuur met overnachting aan externe groepen (tegen betaling) en meer dan 5 weekends per jaar verhuurd wordt.</t>
  </si>
  <si>
    <t>Doet jouw vereniging aan verhuur?</t>
  </si>
  <si>
    <t>90% terugbetaling van de huur</t>
  </si>
  <si>
    <t>Brandverzekering gebouw worden terugbetaald</t>
  </si>
  <si>
    <t>Roerende voorheffing wordt NIET terugbetaald</t>
  </si>
  <si>
    <t>Patrimoniumtaks, erfpacht of opstalrecht worden NIET terugbetaald</t>
  </si>
  <si>
    <t>Kosten voor keuringen van installaties worden terugbetaald</t>
  </si>
  <si>
    <t>60% tegemoetkoming vanuit de stad voor energie</t>
  </si>
  <si>
    <t>Internet</t>
  </si>
  <si>
    <t>De kosten voor het internetabonnement van het afgelopen werkjaar worden voor 50% terugbetaald, met een maximum van €250. De activatiekost wordt éénmalig terugbetaald, met een maximum van €50.</t>
  </si>
  <si>
    <t>Totaalbedrag internet (voor één werkingsjaar)</t>
  </si>
  <si>
    <t>Activatiekost (eenmalig bij opstart abonnement)</t>
  </si>
  <si>
    <t>Tegemoetkoming vanuit de Stad</t>
  </si>
  <si>
    <t>Totaal infrastructuursubsidie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</si>
</sst>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b/>
      <sz val="11"/>
      <color theme="1"/>
      <name val="Calibri"/>
      <family val="2"/>
      <scheme val="minor"/>
    </font>
    <font>
      <i/>
      <sz val="11"/>
      <color theme="1"/>
      <name val="Calibri"/>
      <family val="2"/>
      <scheme val="minor"/>
    </font>
    <font>
      <i/>
      <sz val="11"/>
      <name val="Calibri"/>
      <family val="2"/>
      <scheme val="minor"/>
    </font>
    <font>
      <u/>
      <sz val="11"/>
      <color theme="1"/>
      <name val="Calibri"/>
      <family val="2"/>
      <scheme val="minor"/>
    </font>
    <font>
      <b/>
      <sz val="20"/>
      <name val="Calibri"/>
      <family val="2"/>
      <scheme val="minor"/>
    </font>
    <font>
      <b/>
      <sz val="11"/>
      <name val="Calibri"/>
      <family val="2"/>
      <scheme val="minor"/>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lightUp"/>
    </fill>
    <fill>
      <patternFill patternType="lightUp">
        <bgColor theme="0"/>
      </patternFill>
    </fill>
    <fill>
      <patternFill patternType="solid">
        <fgColor theme="0" tint="-0.249977111117893"/>
        <bgColor indexed="64"/>
      </patternFill>
    </fill>
    <fill>
      <patternFill patternType="solid">
        <fgColor theme="8" tint="0.79998168889431442"/>
        <bgColor indexed="64"/>
      </patternFill>
    </fill>
    <fill>
      <patternFill patternType="solid">
        <fgColor theme="0" tint="-0.24994659260841701"/>
        <bgColor indexed="64"/>
      </patternFill>
    </fill>
    <fill>
      <patternFill patternType="lightUp">
        <bgColor auto="1"/>
      </patternFill>
    </fill>
  </fills>
  <borders count="30">
    <border>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14993743705557422"/>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medium">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theme="0" tint="-0.24994659260841701"/>
      </right>
      <top/>
      <bottom/>
      <diagonal/>
    </border>
    <border>
      <left style="medium">
        <color theme="0" tint="-0.24994659260841701"/>
      </left>
      <right/>
      <top/>
      <bottom/>
      <diagonal/>
    </border>
    <border>
      <left style="medium">
        <color theme="0" tint="-0.24994659260841701"/>
      </left>
      <right/>
      <top style="medium">
        <color theme="0" tint="-0.24994659260841701"/>
      </top>
      <bottom/>
      <diagonal/>
    </border>
    <border>
      <left/>
      <right style="medium">
        <color theme="0" tint="-0.24994659260841701"/>
      </right>
      <top style="thin">
        <color theme="0" tint="-0.24994659260841701"/>
      </top>
      <bottom style="medium">
        <color theme="0" tint="-0.24994659260841701"/>
      </bottom>
      <diagonal/>
    </border>
    <border>
      <left style="medium">
        <color theme="0" tint="-0.24994659260841701"/>
      </left>
      <right/>
      <top style="thin">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thin">
        <color theme="0" tint="-0.24994659260841701"/>
      </bottom>
      <diagonal/>
    </border>
  </borders>
  <cellStyleXfs count="1">
    <xf numFmtId="0" fontId="0" fillId="0" borderId="0"/>
  </cellStyleXfs>
  <cellXfs count="146">
    <xf numFmtId="0" fontId="0" fillId="0" borderId="0" xfId="0"/>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164" fontId="0" fillId="3" borderId="7" xfId="0" applyNumberFormat="1" applyFill="1" applyBorder="1" applyAlignment="1" applyProtection="1">
      <alignment horizontal="center"/>
      <protection locked="0"/>
    </xf>
    <xf numFmtId="0" fontId="0" fillId="5" borderId="8" xfId="0" applyFill="1" applyBorder="1"/>
    <xf numFmtId="0" fontId="2" fillId="8" borderId="6" xfId="0" applyFont="1" applyFill="1" applyBorder="1" applyAlignment="1" applyProtection="1">
      <alignment horizontal="center" vertical="center"/>
      <protection locked="0"/>
    </xf>
    <xf numFmtId="0" fontId="2" fillId="8" borderId="8"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164" fontId="0" fillId="8" borderId="7" xfId="0" applyNumberFormat="1" applyFill="1" applyBorder="1" applyAlignment="1" applyProtection="1">
      <alignment horizontal="center"/>
      <protection locked="0"/>
    </xf>
    <xf numFmtId="164" fontId="0" fillId="0" borderId="7" xfId="0" applyNumberFormat="1" applyBorder="1" applyAlignment="1">
      <alignment horizontal="center"/>
    </xf>
    <xf numFmtId="0" fontId="2" fillId="10" borderId="7" xfId="0" applyFont="1" applyFill="1"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1" fillId="0" borderId="0" xfId="0" applyFont="1"/>
    <xf numFmtId="0" fontId="0" fillId="0" borderId="0" xfId="0" applyAlignment="1">
      <alignment vertical="center" wrapText="1"/>
    </xf>
    <xf numFmtId="0" fontId="0" fillId="0" borderId="22" xfId="0" applyBorder="1" applyAlignment="1">
      <alignment vertical="center" wrapText="1"/>
    </xf>
    <xf numFmtId="0" fontId="2" fillId="0" borderId="22" xfId="0" applyFont="1" applyBorder="1" applyAlignment="1">
      <alignment horizontal="right" vertical="center" wrapText="1"/>
    </xf>
    <xf numFmtId="0" fontId="0" fillId="0" borderId="22" xfId="0" applyBorder="1"/>
    <xf numFmtId="0" fontId="0" fillId="3" borderId="22" xfId="0" applyFill="1" applyBorder="1" applyAlignment="1" applyProtection="1">
      <alignment horizontal="center" vertical="center" wrapText="1"/>
      <protection locked="0"/>
    </xf>
    <xf numFmtId="0" fontId="0" fillId="3" borderId="22" xfId="0" applyFill="1" applyBorder="1" applyAlignment="1" applyProtection="1">
      <alignment vertical="center" wrapText="1"/>
      <protection locked="0"/>
    </xf>
    <xf numFmtId="0" fontId="0" fillId="2" borderId="0" xfId="0" applyFill="1"/>
    <xf numFmtId="0" fontId="5" fillId="2" borderId="0" xfId="0" applyFont="1" applyFill="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left" vertical="center"/>
    </xf>
    <xf numFmtId="0" fontId="1" fillId="2" borderId="1" xfId="0" applyFont="1" applyFill="1" applyBorder="1"/>
    <xf numFmtId="0" fontId="0" fillId="0" borderId="1" xfId="0" applyBorder="1" applyAlignment="1">
      <alignment horizontal="left"/>
    </xf>
    <xf numFmtId="0" fontId="1" fillId="2" borderId="0" xfId="0" applyFont="1" applyFill="1"/>
    <xf numFmtId="2" fontId="6" fillId="2" borderId="0" xfId="0" applyNumberFormat="1" applyFont="1" applyFill="1" applyAlignment="1">
      <alignment horizontal="center" vertical="center" wrapText="1"/>
    </xf>
    <xf numFmtId="0" fontId="0" fillId="5" borderId="1" xfId="0" applyFill="1" applyBorder="1" applyAlignment="1">
      <alignment horizontal="center"/>
    </xf>
    <xf numFmtId="164" fontId="0" fillId="0" borderId="1" xfId="0" applyNumberFormat="1" applyBorder="1" applyAlignment="1">
      <alignment horizontal="center" vertical="center"/>
    </xf>
    <xf numFmtId="0" fontId="0" fillId="5" borderId="1" xfId="0" applyFill="1" applyBorder="1"/>
    <xf numFmtId="0" fontId="2" fillId="2" borderId="6" xfId="0" applyFont="1" applyFill="1" applyBorder="1" applyAlignment="1">
      <alignment horizontal="righ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right" vertical="center" wrapText="1"/>
    </xf>
    <xf numFmtId="0" fontId="2" fillId="2" borderId="8" xfId="0" applyFont="1" applyFill="1" applyBorder="1" applyAlignment="1">
      <alignment horizontal="center" vertical="center"/>
    </xf>
    <xf numFmtId="0" fontId="2" fillId="2" borderId="7" xfId="0" applyFont="1" applyFill="1" applyBorder="1" applyAlignment="1">
      <alignment horizontal="right" vertical="center" wrapText="1"/>
    </xf>
    <xf numFmtId="0" fontId="2" fillId="2" borderId="7" xfId="0" applyFont="1" applyFill="1" applyBorder="1" applyAlignment="1">
      <alignment horizontal="center" vertical="center"/>
    </xf>
    <xf numFmtId="0" fontId="0" fillId="0" borderId="7" xfId="0" applyBorder="1" applyAlignment="1">
      <alignment horizontal="center" vertical="center"/>
    </xf>
    <xf numFmtId="0" fontId="2" fillId="8" borderId="7"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7" xfId="0" applyFont="1" applyFill="1" applyBorder="1" applyAlignment="1">
      <alignment horizontal="right" vertical="center" wrapText="1"/>
    </xf>
    <xf numFmtId="0" fontId="4" fillId="2" borderId="7" xfId="0" applyFont="1" applyFill="1" applyBorder="1" applyAlignment="1">
      <alignment horizontal="left" vertical="center" wrapText="1"/>
    </xf>
    <xf numFmtId="0" fontId="2" fillId="10" borderId="7" xfId="0" applyFont="1" applyFill="1" applyBorder="1" applyAlignment="1">
      <alignment horizontal="center" vertical="center"/>
    </xf>
    <xf numFmtId="0" fontId="2" fillId="6" borderId="7" xfId="0" applyFont="1" applyFill="1" applyBorder="1" applyAlignment="1">
      <alignment horizontal="center" vertical="center"/>
    </xf>
    <xf numFmtId="0" fontId="2" fillId="5" borderId="7" xfId="0" applyFont="1" applyFill="1" applyBorder="1" applyAlignment="1">
      <alignment horizontal="center" vertical="center"/>
    </xf>
    <xf numFmtId="0" fontId="2" fillId="0" borderId="7" xfId="0" applyFont="1" applyBorder="1" applyAlignment="1">
      <alignment horizontal="right" vertical="center" wrapText="1"/>
    </xf>
    <xf numFmtId="0" fontId="2" fillId="0" borderId="9" xfId="0" applyFont="1" applyBorder="1" applyAlignment="1">
      <alignment horizontal="right" vertical="center" wrapText="1"/>
    </xf>
    <xf numFmtId="0" fontId="2" fillId="2" borderId="9" xfId="0" applyFont="1" applyFill="1" applyBorder="1" applyAlignment="1">
      <alignment horizontal="center" vertical="center"/>
    </xf>
    <xf numFmtId="0" fontId="6" fillId="2" borderId="1" xfId="0" applyFont="1" applyFill="1" applyBorder="1" applyAlignment="1">
      <alignment horizontal="center"/>
    </xf>
    <xf numFmtId="164" fontId="6" fillId="2" borderId="1" xfId="0" applyNumberFormat="1" applyFont="1" applyFill="1" applyBorder="1" applyAlignment="1">
      <alignment horizontal="center"/>
    </xf>
    <xf numFmtId="0" fontId="2" fillId="5" borderId="19" xfId="0" applyFont="1" applyFill="1" applyBorder="1" applyAlignment="1">
      <alignment horizontal="right"/>
    </xf>
    <xf numFmtId="0" fontId="2" fillId="5" borderId="20" xfId="0" applyFont="1" applyFill="1" applyBorder="1" applyAlignment="1">
      <alignment horizontal="right"/>
    </xf>
    <xf numFmtId="0" fontId="0" fillId="5" borderId="21" xfId="0" applyFill="1" applyBorder="1"/>
    <xf numFmtId="164" fontId="0" fillId="5" borderId="5" xfId="0" applyNumberFormat="1" applyFill="1" applyBorder="1" applyAlignment="1">
      <alignment horizontal="center"/>
    </xf>
    <xf numFmtId="0" fontId="0" fillId="5" borderId="5" xfId="0" applyFill="1" applyBorder="1"/>
    <xf numFmtId="0" fontId="2" fillId="5" borderId="7" xfId="0" applyFont="1" applyFill="1" applyBorder="1" applyAlignment="1">
      <alignment horizontal="right"/>
    </xf>
    <xf numFmtId="0" fontId="0" fillId="5" borderId="7" xfId="0" applyFill="1" applyBorder="1"/>
    <xf numFmtId="164" fontId="0" fillId="5" borderId="7" xfId="0" applyNumberFormat="1" applyFill="1" applyBorder="1" applyAlignment="1">
      <alignment horizontal="center"/>
    </xf>
    <xf numFmtId="0" fontId="2" fillId="5" borderId="8" xfId="0" applyFont="1" applyFill="1" applyBorder="1" applyAlignment="1">
      <alignment horizontal="right"/>
    </xf>
    <xf numFmtId="164" fontId="0" fillId="0" borderId="8" xfId="0" applyNumberFormat="1" applyBorder="1" applyAlignment="1">
      <alignment horizontal="center"/>
    </xf>
    <xf numFmtId="0" fontId="2" fillId="5" borderId="1" xfId="0" applyFont="1" applyFill="1" applyBorder="1" applyAlignment="1">
      <alignment horizontal="right"/>
    </xf>
    <xf numFmtId="0" fontId="2" fillId="5" borderId="5" xfId="0" applyFont="1" applyFill="1" applyBorder="1" applyAlignment="1">
      <alignment horizontal="right"/>
    </xf>
    <xf numFmtId="0" fontId="2" fillId="0" borderId="0" xfId="0" applyFont="1" applyAlignment="1">
      <alignment horizontal="right" vertical="center" wrapText="1"/>
    </xf>
    <xf numFmtId="164" fontId="0" fillId="0" borderId="0" xfId="0" applyNumberFormat="1" applyAlignment="1">
      <alignment horizontal="center"/>
    </xf>
    <xf numFmtId="0" fontId="2" fillId="5" borderId="0" xfId="0" applyFont="1" applyFill="1" applyAlignment="1">
      <alignment horizontal="right"/>
    </xf>
    <xf numFmtId="0" fontId="0" fillId="5" borderId="0" xfId="0" applyFill="1"/>
    <xf numFmtId="0" fontId="0" fillId="5" borderId="23" xfId="0" applyFill="1" applyBorder="1"/>
    <xf numFmtId="164" fontId="0" fillId="0" borderId="24" xfId="0" applyNumberFormat="1" applyBorder="1" applyAlignment="1">
      <alignment horizontal="center"/>
    </xf>
    <xf numFmtId="164" fontId="6" fillId="2" borderId="5" xfId="0" applyNumberFormat="1" applyFont="1" applyFill="1" applyBorder="1" applyAlignment="1">
      <alignment horizontal="center"/>
    </xf>
    <xf numFmtId="0" fontId="7" fillId="2" borderId="0" xfId="0" applyFont="1" applyFill="1"/>
    <xf numFmtId="0" fontId="2" fillId="0" borderId="26" xfId="0" applyFont="1" applyBorder="1" applyAlignment="1">
      <alignment horizontal="right"/>
    </xf>
    <xf numFmtId="164" fontId="0" fillId="5" borderId="16" xfId="0" applyNumberFormat="1" applyFill="1" applyBorder="1" applyAlignment="1">
      <alignment horizontal="center"/>
    </xf>
    <xf numFmtId="164" fontId="0" fillId="0" borderId="27" xfId="0" applyNumberFormat="1" applyBorder="1" applyAlignment="1">
      <alignment horizontal="center"/>
    </xf>
    <xf numFmtId="164" fontId="0" fillId="0" borderId="29" xfId="0" applyNumberFormat="1" applyBorder="1" applyAlignment="1">
      <alignment horizontal="center"/>
    </xf>
    <xf numFmtId="0" fontId="0" fillId="5" borderId="10" xfId="0" applyFill="1" applyBorder="1"/>
    <xf numFmtId="164" fontId="0" fillId="5" borderId="6" xfId="0" applyNumberFormat="1" applyFill="1" applyBorder="1" applyAlignment="1">
      <alignment horizontal="center"/>
    </xf>
    <xf numFmtId="0" fontId="0" fillId="0" borderId="18" xfId="0" applyBorder="1" applyAlignment="1" applyProtection="1">
      <alignment vertical="center"/>
      <protection locked="0"/>
    </xf>
    <xf numFmtId="0" fontId="2" fillId="9" borderId="10" xfId="0" applyFont="1" applyFill="1" applyBorder="1" applyAlignment="1">
      <alignment horizontal="right"/>
    </xf>
    <xf numFmtId="0" fontId="0" fillId="9" borderId="11" xfId="0" applyFill="1" applyBorder="1"/>
    <xf numFmtId="0" fontId="0" fillId="0" borderId="28" xfId="0" applyBorder="1"/>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horizontal="left"/>
    </xf>
    <xf numFmtId="0" fontId="0" fillId="7" borderId="18" xfId="0" applyFill="1" applyBorder="1" applyAlignment="1">
      <alignment horizontal="left" vertical="center" wrapText="1"/>
    </xf>
    <xf numFmtId="0" fontId="0" fillId="7" borderId="7" xfId="0" applyFill="1" applyBorder="1" applyAlignment="1">
      <alignment horizontal="left" wrapText="1"/>
    </xf>
    <xf numFmtId="0" fontId="0" fillId="0" borderId="7" xfId="0" applyBorder="1" applyAlignment="1">
      <alignment wrapText="1"/>
    </xf>
    <xf numFmtId="0" fontId="2" fillId="0" borderId="18" xfId="0" applyFont="1" applyBorder="1" applyAlignment="1">
      <alignment horizontal="right" vertical="center" wrapText="1"/>
    </xf>
    <xf numFmtId="0" fontId="2" fillId="0" borderId="7" xfId="0" applyFont="1" applyBorder="1" applyAlignment="1">
      <alignment horizontal="right"/>
    </xf>
    <xf numFmtId="0" fontId="2" fillId="0" borderId="9" xfId="0" applyFont="1" applyBorder="1" applyAlignment="1">
      <alignment horizontal="right"/>
    </xf>
    <xf numFmtId="0" fontId="0" fillId="0" borderId="12" xfId="0" applyBorder="1"/>
    <xf numFmtId="0" fontId="0" fillId="9" borderId="16" xfId="0" applyFill="1" applyBorder="1"/>
    <xf numFmtId="0" fontId="0" fillId="9" borderId="17" xfId="0" applyFill="1" applyBorder="1"/>
    <xf numFmtId="0" fontId="0" fillId="0" borderId="18" xfId="0" applyBorder="1"/>
    <xf numFmtId="0" fontId="0" fillId="9" borderId="13" xfId="0" applyFill="1" applyBorder="1"/>
    <xf numFmtId="0" fontId="0" fillId="9" borderId="14" xfId="0" applyFill="1" applyBorder="1"/>
    <xf numFmtId="0" fontId="0" fillId="0" borderId="15" xfId="0" applyBorder="1"/>
    <xf numFmtId="0" fontId="0" fillId="7" borderId="17" xfId="0" applyFill="1" applyBorder="1" applyAlignment="1">
      <alignment horizontal="left" vertical="center" wrapText="1"/>
    </xf>
    <xf numFmtId="0" fontId="0" fillId="0" borderId="17" xfId="0" applyBorder="1"/>
    <xf numFmtId="0" fontId="5" fillId="2" borderId="0" xfId="0" applyFont="1" applyFill="1" applyAlignment="1">
      <alignment horizontal="center" vertical="center"/>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0" borderId="4" xfId="0" applyFont="1" applyBorder="1" applyAlignment="1">
      <alignment horizontal="center" vertical="center"/>
    </xf>
    <xf numFmtId="0" fontId="0" fillId="0" borderId="4" xfId="0" applyBorder="1"/>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 fillId="4" borderId="2" xfId="0" applyFont="1" applyFill="1" applyBorder="1" applyAlignment="1">
      <alignment horizontal="center" vertical="center"/>
    </xf>
    <xf numFmtId="0" fontId="1" fillId="4" borderId="5" xfId="0" applyFont="1" applyFill="1" applyBorder="1" applyAlignment="1">
      <alignment horizontal="center" vertical="center"/>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0" fillId="0" borderId="7" xfId="0" applyBorder="1" applyAlignment="1">
      <alignment horizontal="center" vertical="center" wrapText="1"/>
    </xf>
    <xf numFmtId="0" fontId="1" fillId="2" borderId="0" xfId="0" applyFont="1" applyFill="1" applyAlignment="1">
      <alignment horizontal="right"/>
    </xf>
    <xf numFmtId="0" fontId="1" fillId="0" borderId="0" xfId="0" applyFont="1" applyAlignment="1">
      <alignment horizontal="right"/>
    </xf>
    <xf numFmtId="0" fontId="1" fillId="4" borderId="6"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6" fillId="2" borderId="19" xfId="0" applyFont="1" applyFill="1" applyBorder="1" applyAlignment="1">
      <alignment horizontal="left" vertical="center"/>
    </xf>
    <xf numFmtId="0" fontId="7" fillId="2" borderId="11" xfId="0" applyFont="1" applyFill="1" applyBorder="1" applyAlignment="1">
      <alignment horizontal="left" vertical="center"/>
    </xf>
    <xf numFmtId="0" fontId="0" fillId="0" borderId="2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6" borderId="10" xfId="0" applyFill="1" applyBorder="1" applyAlignment="1">
      <alignment vertical="center"/>
    </xf>
    <xf numFmtId="0" fontId="0" fillId="5" borderId="11" xfId="0" applyFill="1" applyBorder="1" applyAlignment="1">
      <alignment vertical="center"/>
    </xf>
    <xf numFmtId="0" fontId="0" fillId="5" borderId="12" xfId="0" applyFill="1" applyBorder="1" applyAlignment="1">
      <alignment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0" fontId="0" fillId="0" borderId="7" xfId="0" applyBorder="1"/>
    <xf numFmtId="0" fontId="1" fillId="4" borderId="3" xfId="0" applyFont="1" applyFill="1" applyBorder="1" applyAlignment="1">
      <alignment horizontal="center" vertical="center" wrapText="1"/>
    </xf>
    <xf numFmtId="0" fontId="6" fillId="2" borderId="25" xfId="0" applyFont="1"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cellXfs>
  <cellStyles count="1">
    <cellStyle name="Standaard" xfId="0" builtinId="0"/>
  </cellStyles>
  <dxfs count="167">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theme="0"/>
        </patternFill>
      </fill>
    </dxf>
    <dxf>
      <fill>
        <patternFill patternType="lightUp">
          <bgColor theme="0"/>
        </patternFill>
      </fill>
    </dxf>
    <dxf>
      <fill>
        <patternFill patternType="lightUp"/>
      </fill>
    </dxf>
    <dxf>
      <fill>
        <patternFill patternType="lightUp"/>
      </fill>
    </dxf>
    <dxf>
      <fill>
        <patternFill patternType="lightUp"/>
      </fill>
    </dxf>
    <dxf>
      <fill>
        <patternFill patternType="lightUp"/>
      </fill>
    </dxf>
    <dxf>
      <fill>
        <patternFill patternType="lightUp">
          <bgColor theme="0"/>
        </patternFill>
      </fill>
    </dxf>
    <dxf>
      <fill>
        <patternFill patternType="lightUp"/>
      </fill>
    </dxf>
    <dxf>
      <fill>
        <patternFill patternType="lightUp"/>
      </fill>
    </dxf>
    <dxf>
      <fill>
        <patternFill patternType="lightUp">
          <bgColor auto="1"/>
        </patternFill>
      </fill>
    </dxf>
    <dxf>
      <fill>
        <patternFill patternType="lightUp">
          <bgColor theme="0"/>
        </patternFill>
      </fill>
    </dxf>
    <dxf>
      <fill>
        <patternFill patternType="lightUp">
          <bgColor auto="1"/>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theme="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solid">
          <bgColor rgb="FFFF0000"/>
        </patternFill>
      </fill>
    </dxf>
    <dxf>
      <fill>
        <patternFill>
          <bgColor rgb="FFFF0000"/>
        </patternFill>
      </fill>
    </dxf>
    <dxf>
      <fill>
        <patternFill patternType="solid">
          <bgColor rgb="FFFF0000"/>
        </patternFill>
      </fill>
    </dxf>
    <dxf>
      <fill>
        <patternFill patternType="lightUp">
          <bgColor theme="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theme="0"/>
        </patternFill>
      </fill>
    </dxf>
    <dxf>
      <fill>
        <patternFill>
          <bgColor rgb="FFFF0000"/>
        </patternFill>
      </fill>
    </dxf>
    <dxf>
      <fill>
        <patternFill>
          <bgColor rgb="FFFF0000"/>
        </patternFill>
      </fill>
    </dxf>
    <dxf>
      <fill>
        <patternFill patternType="lightUp">
          <bgColor theme="0"/>
        </patternFill>
      </fill>
    </dxf>
    <dxf>
      <fill>
        <patternFill patternType="lightUp"/>
      </fill>
    </dxf>
    <dxf>
      <fill>
        <patternFill patternType="lightUp">
          <bgColor auto="1"/>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fill>
    </dxf>
    <dxf>
      <fill>
        <patternFill patternType="lightUp">
          <bgColor auto="1"/>
        </patternFill>
      </fill>
    </dxf>
    <dxf>
      <fill>
        <patternFill patternType="lightUp">
          <bgColor theme="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auto="1"/>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theme="0"/>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bgColor theme="0"/>
        </patternFill>
      </fill>
    </dxf>
    <dxf>
      <fill>
        <patternFill>
          <bgColor rgb="FFFF0000"/>
        </patternFill>
      </fill>
    </dxf>
    <dxf>
      <fill>
        <patternFill>
          <bgColor rgb="FFFF0000"/>
        </patternFill>
      </fill>
    </dxf>
    <dxf>
      <fill>
        <patternFill patternType="lightUp">
          <bgColor theme="0"/>
        </patternFill>
      </fill>
    </dxf>
    <dxf>
      <fill>
        <patternFill>
          <bgColor rgb="FFFF0000"/>
        </patternFill>
      </fill>
    </dxf>
    <dxf>
      <fill>
        <patternFill patternType="lightUp">
          <bgColor theme="0"/>
        </patternFill>
      </fill>
    </dxf>
    <dxf>
      <fill>
        <patternFill>
          <bgColor theme="1"/>
        </patternFill>
      </fill>
    </dxf>
    <dxf>
      <fill>
        <patternFill patternType="lightUp">
          <bgColor theme="0"/>
        </patternFill>
      </fill>
    </dxf>
    <dxf>
      <fill>
        <patternFill patternType="lightUp"/>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
      <fill>
        <patternFill patternType="lightUp">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D4872-6ECC-4672-994C-02BDF7F7705A}">
  <dimension ref="B2:C29"/>
  <sheetViews>
    <sheetView showGridLines="0" workbookViewId="0">
      <selection activeCell="C4" sqref="C4"/>
    </sheetView>
  </sheetViews>
  <sheetFormatPr defaultRowHeight="14.5" x14ac:dyDescent="0.35"/>
  <cols>
    <col min="2" max="2" width="38.453125" customWidth="1"/>
    <col min="3" max="3" width="45.81640625" style="18" customWidth="1"/>
  </cols>
  <sheetData>
    <row r="2" spans="2:3" x14ac:dyDescent="0.35">
      <c r="B2" s="17"/>
    </row>
    <row r="3" spans="2:3" x14ac:dyDescent="0.35">
      <c r="B3" s="17" t="s">
        <v>0</v>
      </c>
    </row>
    <row r="4" spans="2:3" x14ac:dyDescent="0.35">
      <c r="B4" s="19" t="s">
        <v>1</v>
      </c>
      <c r="C4" s="22" t="s">
        <v>2</v>
      </c>
    </row>
    <row r="5" spans="2:3" x14ac:dyDescent="0.35">
      <c r="B5" s="19" t="s">
        <v>3</v>
      </c>
      <c r="C5" s="23" t="s">
        <v>4</v>
      </c>
    </row>
    <row r="6" spans="2:3" x14ac:dyDescent="0.35">
      <c r="B6" s="19" t="s">
        <v>5</v>
      </c>
      <c r="C6" s="23" t="s">
        <v>4</v>
      </c>
    </row>
    <row r="7" spans="2:3" x14ac:dyDescent="0.35">
      <c r="B7" s="19" t="s">
        <v>6</v>
      </c>
      <c r="C7" s="23" t="s">
        <v>4</v>
      </c>
    </row>
    <row r="8" spans="2:3" x14ac:dyDescent="0.35">
      <c r="B8" s="19" t="s">
        <v>7</v>
      </c>
      <c r="C8" s="19"/>
    </row>
    <row r="9" spans="2:3" x14ac:dyDescent="0.35">
      <c r="B9" s="20" t="s">
        <v>8</v>
      </c>
      <c r="C9" s="22" t="s">
        <v>9</v>
      </c>
    </row>
    <row r="10" spans="2:3" x14ac:dyDescent="0.35">
      <c r="B10" s="20" t="s">
        <v>10</v>
      </c>
      <c r="C10" s="22" t="s">
        <v>9</v>
      </c>
    </row>
    <row r="11" spans="2:3" x14ac:dyDescent="0.35">
      <c r="B11" s="20" t="s">
        <v>11</v>
      </c>
      <c r="C11" s="22" t="s">
        <v>9</v>
      </c>
    </row>
    <row r="12" spans="2:3" x14ac:dyDescent="0.35">
      <c r="B12" s="20" t="s">
        <v>12</v>
      </c>
      <c r="C12" s="22" t="s">
        <v>9</v>
      </c>
    </row>
    <row r="13" spans="2:3" x14ac:dyDescent="0.35">
      <c r="B13" s="20" t="s">
        <v>13</v>
      </c>
      <c r="C13" s="22" t="s">
        <v>9</v>
      </c>
    </row>
    <row r="14" spans="2:3" x14ac:dyDescent="0.35">
      <c r="B14" s="20" t="s">
        <v>14</v>
      </c>
      <c r="C14" s="22" t="s">
        <v>9</v>
      </c>
    </row>
    <row r="15" spans="2:3" x14ac:dyDescent="0.35">
      <c r="B15" s="20" t="s">
        <v>15</v>
      </c>
      <c r="C15" s="22" t="s">
        <v>9</v>
      </c>
    </row>
    <row r="16" spans="2:3" x14ac:dyDescent="0.35">
      <c r="B16" s="20" t="s">
        <v>16</v>
      </c>
      <c r="C16" s="22" t="s">
        <v>9</v>
      </c>
    </row>
    <row r="17" spans="2:3" ht="29" x14ac:dyDescent="0.35">
      <c r="B17" s="19" t="s">
        <v>17</v>
      </c>
      <c r="C17" s="22" t="s">
        <v>9</v>
      </c>
    </row>
    <row r="18" spans="2:3" x14ac:dyDescent="0.35">
      <c r="B18" s="19" t="s">
        <v>18</v>
      </c>
      <c r="C18" s="22" t="s">
        <v>9</v>
      </c>
    </row>
    <row r="19" spans="2:3" ht="29" x14ac:dyDescent="0.35">
      <c r="B19" s="19" t="s">
        <v>19</v>
      </c>
      <c r="C19" s="22" t="s">
        <v>9</v>
      </c>
    </row>
    <row r="20" spans="2:3" ht="29" x14ac:dyDescent="0.35">
      <c r="B20" s="19" t="s">
        <v>20</v>
      </c>
      <c r="C20" s="23"/>
    </row>
    <row r="21" spans="2:3" ht="58" x14ac:dyDescent="0.35">
      <c r="B21" s="19" t="s">
        <v>21</v>
      </c>
      <c r="C21" s="23"/>
    </row>
    <row r="23" spans="2:3" x14ac:dyDescent="0.35">
      <c r="B23" s="17" t="s">
        <v>22</v>
      </c>
    </row>
    <row r="24" spans="2:3" x14ac:dyDescent="0.35">
      <c r="B24" s="21" t="s">
        <v>23</v>
      </c>
      <c r="C24" s="23"/>
    </row>
    <row r="25" spans="2:3" x14ac:dyDescent="0.35">
      <c r="B25" s="21" t="s">
        <v>24</v>
      </c>
      <c r="C25" s="23"/>
    </row>
    <row r="26" spans="2:3" x14ac:dyDescent="0.35">
      <c r="B26" s="21" t="s">
        <v>25</v>
      </c>
      <c r="C26" s="23"/>
    </row>
    <row r="27" spans="2:3" x14ac:dyDescent="0.35">
      <c r="B27" s="21" t="s">
        <v>26</v>
      </c>
      <c r="C27" s="23"/>
    </row>
    <row r="28" spans="2:3" x14ac:dyDescent="0.35">
      <c r="B28" s="21" t="s">
        <v>27</v>
      </c>
      <c r="C28" s="23"/>
    </row>
    <row r="29" spans="2:3" x14ac:dyDescent="0.35">
      <c r="B29" s="21" t="s">
        <v>28</v>
      </c>
      <c r="C29" s="23"/>
    </row>
  </sheetData>
  <sheetProtection algorithmName="SHA-512" hashValue="rJBU4sP6ZOfxGslXBAsTY5/JOYEvL5jhCN5KUErYFWpsCtPGvmGG3wH1D+3dd3yTlx/e24qHVgHPjUYkhBnEeg==" saltValue="LTNJK1h/aUSKGd3HCRBjCw==" spinCount="100000" sheet="1" objects="1" scenarios="1"/>
  <dataValidations count="2">
    <dataValidation type="list" allowBlank="1" showInputMessage="1" showErrorMessage="1" sqref="C4" xr:uid="{00BA0B71-6041-48B0-844C-E2BE595560FA}">
      <formula1>"Jeugdbeweging,Jongerenbeweging,Jeugdhuis,Studentenvereniging,Jeugdcultuurvereniging,Jeugdcultuurorganisator,Speelpleinwerking,Fiscale attesten,Samenwerkingsovereenkomsten"</formula1>
    </dataValidation>
    <dataValidation type="list" allowBlank="1" showInputMessage="1" showErrorMessage="1" sqref="C9:C19" xr:uid="{33EC508A-2730-4698-A401-1DBBF33ACA99}">
      <formula1>"Ja,Nee"</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6F25-7CC9-4AEF-AF23-FE971B3E88D7}">
  <dimension ref="A1:O83"/>
  <sheetViews>
    <sheetView showGridLines="0" tabSelected="1" zoomScale="80" zoomScaleNormal="80" workbookViewId="0">
      <selection activeCell="E11" sqref="E11"/>
    </sheetView>
  </sheetViews>
  <sheetFormatPr defaultColWidth="8.81640625" defaultRowHeight="14.5" x14ac:dyDescent="0.35"/>
  <cols>
    <col min="2" max="2" width="22.1796875" bestFit="1" customWidth="1"/>
    <col min="3" max="3" width="16.54296875" customWidth="1"/>
    <col min="4" max="4" width="48.1796875" customWidth="1"/>
    <col min="5" max="5" width="12.453125" customWidth="1"/>
    <col min="6" max="6" width="4.54296875" hidden="1" customWidth="1"/>
    <col min="7" max="7" width="10" hidden="1" customWidth="1"/>
    <col min="8" max="8" width="9.54296875" hidden="1" customWidth="1"/>
    <col min="9" max="9" width="16.1796875" customWidth="1"/>
    <col min="10" max="10" width="17.1796875" hidden="1" customWidth="1"/>
    <col min="11" max="14" width="16.1796875" hidden="1" customWidth="1"/>
    <col min="15" max="15" width="47.453125" hidden="1" customWidth="1"/>
    <col min="16" max="16" width="16.1796875" customWidth="1"/>
  </cols>
  <sheetData>
    <row r="1" spans="1:15" x14ac:dyDescent="0.35">
      <c r="A1" s="24"/>
      <c r="B1" s="24"/>
      <c r="C1" s="24"/>
      <c r="D1" s="24"/>
      <c r="E1" s="24"/>
      <c r="F1" s="24"/>
      <c r="G1" s="24"/>
      <c r="H1" s="24"/>
      <c r="I1" s="24"/>
      <c r="J1" s="24"/>
    </row>
    <row r="2" spans="1:15" ht="26" x14ac:dyDescent="0.35">
      <c r="A2" s="24"/>
      <c r="B2" s="24"/>
      <c r="C2" s="106" t="s">
        <v>29</v>
      </c>
      <c r="D2" s="106"/>
      <c r="E2" s="106"/>
      <c r="F2" s="106"/>
      <c r="G2" s="106"/>
      <c r="H2" s="106"/>
      <c r="I2" s="106"/>
      <c r="J2" s="24"/>
    </row>
    <row r="3" spans="1:15" ht="15" customHeight="1" thickBot="1" x14ac:dyDescent="0.4">
      <c r="A3" s="24"/>
      <c r="B3" s="24"/>
      <c r="C3" s="26"/>
      <c r="D3" s="25"/>
      <c r="E3" s="25"/>
      <c r="F3" s="25"/>
      <c r="G3" s="25"/>
      <c r="H3" s="25"/>
      <c r="I3" s="25"/>
      <c r="J3" s="24"/>
    </row>
    <row r="4" spans="1:15" ht="15.65" customHeight="1" thickBot="1" x14ac:dyDescent="0.4">
      <c r="A4" s="24"/>
      <c r="B4" s="24"/>
      <c r="C4" s="27" t="s">
        <v>30</v>
      </c>
      <c r="D4" s="28" t="str">
        <f>Invulblad!C5</f>
        <v>Invullen op tabblad 'invulblad'</v>
      </c>
      <c r="E4" s="25"/>
      <c r="F4" s="25"/>
      <c r="G4" s="25"/>
      <c r="H4" s="25"/>
      <c r="I4" s="25"/>
      <c r="J4" s="24"/>
    </row>
    <row r="5" spans="1:15" ht="15" thickBot="1" x14ac:dyDescent="0.4">
      <c r="A5" s="24"/>
      <c r="B5" s="24"/>
      <c r="C5" s="29" t="s">
        <v>31</v>
      </c>
      <c r="D5" s="30" t="str">
        <f>Invulblad!C4</f>
        <v>Jeugdbeweging</v>
      </c>
      <c r="E5" s="24"/>
      <c r="F5" s="24"/>
      <c r="G5" s="24"/>
      <c r="H5" s="24"/>
      <c r="I5" s="24"/>
      <c r="J5" s="24"/>
    </row>
    <row r="6" spans="1:15" ht="15" thickBot="1" x14ac:dyDescent="0.4">
      <c r="A6" s="24"/>
      <c r="B6" s="24"/>
      <c r="C6" s="29" t="s">
        <v>32</v>
      </c>
      <c r="D6" s="30" t="str">
        <f>Invulblad!C7</f>
        <v>Invullen op tabblad 'invulblad'</v>
      </c>
      <c r="E6" s="24"/>
      <c r="F6" s="24"/>
      <c r="G6" s="24"/>
      <c r="H6" s="24"/>
      <c r="I6" s="31" t="s">
        <v>33</v>
      </c>
      <c r="J6" s="24"/>
    </row>
    <row r="7" spans="1:15" ht="15" thickBot="1" x14ac:dyDescent="0.4">
      <c r="A7" s="24"/>
      <c r="B7" s="24"/>
      <c r="C7" s="24"/>
      <c r="D7" s="24"/>
      <c r="E7" s="121"/>
      <c r="F7" s="122"/>
      <c r="G7" s="122"/>
      <c r="H7" s="122"/>
      <c r="I7" s="32">
        <v>2</v>
      </c>
      <c r="J7" s="24"/>
    </row>
    <row r="8" spans="1:15" ht="14.5" customHeight="1" x14ac:dyDescent="0.35">
      <c r="A8" s="24"/>
      <c r="B8" s="107" t="s">
        <v>34</v>
      </c>
      <c r="C8" s="107"/>
      <c r="D8" s="107"/>
      <c r="E8" s="107" t="s">
        <v>35</v>
      </c>
      <c r="F8" s="107"/>
      <c r="G8" s="107"/>
      <c r="H8" s="107" t="s">
        <v>36</v>
      </c>
      <c r="I8" s="107" t="s">
        <v>37</v>
      </c>
      <c r="J8" s="107" t="s">
        <v>38</v>
      </c>
      <c r="K8" s="107"/>
      <c r="L8" s="107"/>
      <c r="M8" s="107" t="s">
        <v>39</v>
      </c>
      <c r="N8" s="107" t="s">
        <v>40</v>
      </c>
      <c r="O8" s="107" t="s">
        <v>41</v>
      </c>
    </row>
    <row r="9" spans="1:15" ht="29.5" customHeight="1" thickBot="1" x14ac:dyDescent="0.4">
      <c r="A9" s="24"/>
      <c r="B9" s="142"/>
      <c r="C9" s="108"/>
      <c r="D9" s="108"/>
      <c r="E9" s="108"/>
      <c r="F9" s="108"/>
      <c r="G9" s="108"/>
      <c r="H9" s="108"/>
      <c r="I9" s="108"/>
      <c r="J9" s="108"/>
      <c r="K9" s="108"/>
      <c r="L9" s="108"/>
      <c r="M9" s="108"/>
      <c r="N9" s="108"/>
      <c r="O9" s="108"/>
    </row>
    <row r="10" spans="1:15" ht="15" thickBot="1" x14ac:dyDescent="0.4">
      <c r="A10" s="24"/>
      <c r="B10" s="109" t="s">
        <v>42</v>
      </c>
      <c r="C10" s="111" t="s">
        <v>43</v>
      </c>
      <c r="D10" s="112"/>
      <c r="E10" s="113"/>
      <c r="F10" s="113"/>
      <c r="G10" s="113"/>
      <c r="H10" s="33"/>
      <c r="I10" s="34">
        <f>IF(OR(D5="Jeugdbeweging",D5="Jongerenbeweging",D5="Jeugdhuis",D5="Jeugdcultuurvereniging",D5="Jeugdcultuurorganisator",D5="Speelpleinwerking",D5="Studentenvereniging"),225,IF(OR(D5="Fiscale attesten",D5="Samenwerkingsovereenkomsten"),0,""))</f>
        <v>225</v>
      </c>
      <c r="J10" s="113"/>
      <c r="K10" s="113"/>
      <c r="L10" s="113"/>
      <c r="M10" s="33"/>
      <c r="N10" s="34">
        <f>IF(OR(D5="Jeugdbeweging",D5="Jongerenbeweging",D5="Jeugdhuis",D5="Jeugdcultuurvereniging",D5="Jeugdcultuurorganisator",D5="Speelpleinwerking",D5="Studentenvereniging"),225,IF(OR(D5="Fiscale attesten",D5="Samenwerkingsovereenkomsten"),0,""))</f>
        <v>225</v>
      </c>
      <c r="O10" s="35"/>
    </row>
    <row r="11" spans="1:15" x14ac:dyDescent="0.35">
      <c r="A11" s="24"/>
      <c r="B11" s="110"/>
      <c r="C11" s="114" t="s">
        <v>44</v>
      </c>
      <c r="D11" s="36" t="str">
        <f>IF(OR(D5="Jeugdbeweging",D5="Jongerenbeweging",D5="Jeugdcultuurvereniging"),"Leden die geen lid zijn van het bestuur (1p)","")</f>
        <v>Leden die geen lid zijn van het bestuur (1p)</v>
      </c>
      <c r="E11" s="1">
        <v>0</v>
      </c>
      <c r="F11" s="37">
        <f>IF(D11=0,0,E11)</f>
        <v>0</v>
      </c>
      <c r="G11" s="37">
        <f>F11</f>
        <v>0</v>
      </c>
      <c r="H11" s="116">
        <f>IF(OR(D5="Jeugdbeweging",D5="Jongerenbeweging",D5="Jeugdcultuurvereniging"),(G11+G12),IF(D5="Speelpleinwerking",G12,IF(OR(D5="Jeugdhuis",D5="Studentenvereniging",D5="Fiscale attesten",D5="Samenwerkingsovereenkomsten",D5="Jeugdcultuurorganisator"),0)))</f>
        <v>0</v>
      </c>
      <c r="I11" s="118">
        <f>H11*I7</f>
        <v>0</v>
      </c>
      <c r="J11" s="7">
        <f>E11</f>
        <v>0</v>
      </c>
      <c r="K11" s="37">
        <f>IF(D11=0,0,J11)</f>
        <v>0</v>
      </c>
      <c r="L11" s="37">
        <f>K11</f>
        <v>0</v>
      </c>
      <c r="M11" s="116">
        <f>IF(OR(D5="Jeugdbeweging",D5="Jongerenbeweging",D5="Jeugdcultuurvereniging"),(L11+L12),IF(D5="Speelpleinwerking",L12,IF(OR(D5="Jeugdhuis",D5="Studentenvereniging",D5="Fiscale attesten",D5="Samenwerkingsovereenkomsten",D5="Jeugdcultuurorganisator"),0)))</f>
        <v>0</v>
      </c>
      <c r="N11" s="118">
        <f>M11*I7</f>
        <v>0</v>
      </c>
      <c r="O11" s="15"/>
    </row>
    <row r="12" spans="1:15" ht="15.65" customHeight="1" thickBot="1" x14ac:dyDescent="0.4">
      <c r="A12" s="24"/>
      <c r="B12" s="110"/>
      <c r="C12" s="115"/>
      <c r="D12" s="38" t="str">
        <f>IF(OR(D5="Jeugdbeweging",D5="Jongerenbeweging",D5="Jeugdcultuurvereniging",D5="Speelpleinwerking"),"Deelnemers met een MIA-statuut",IF(OR(D5="Jeugdhuis",D5="Jeugdcultuurorganisator",D5="Studentenvereniging",D5="Fiscale attesten",D5="Samenwerkingsovereenkomsten"),""))</f>
        <v>Deelnemers met een MIA-statuut</v>
      </c>
      <c r="E12" s="3">
        <v>0</v>
      </c>
      <c r="F12" s="39">
        <f>IF(E12&gt;5%*F11,E12*4,0)</f>
        <v>0</v>
      </c>
      <c r="G12" s="39">
        <f>F12</f>
        <v>0</v>
      </c>
      <c r="H12" s="117"/>
      <c r="I12" s="119"/>
      <c r="J12" s="8">
        <f t="shared" ref="J12:J25" si="0">E12</f>
        <v>0</v>
      </c>
      <c r="K12" s="39">
        <f>IF(J12&gt;5%*K11,J12*4,0)</f>
        <v>0</v>
      </c>
      <c r="L12" s="39">
        <f>K12</f>
        <v>0</v>
      </c>
      <c r="M12" s="117"/>
      <c r="N12" s="119"/>
      <c r="O12" s="16"/>
    </row>
    <row r="13" spans="1:15" x14ac:dyDescent="0.35">
      <c r="A13" s="24"/>
      <c r="B13" s="110"/>
      <c r="C13" s="114" t="s">
        <v>45</v>
      </c>
      <c r="D13" s="36" t="str">
        <f>IF(OR(D5="Jeugdbeweging",D5="Jongerenbeweging"),"Leiding zonder attest (1p)",IF(D5="Jeugdcultuurvereniging","Begeleiding zonder attest (1p))",IF(OR(D5="Jeugdhuis",D5="Jeugdcultuurorganisator"),"Actieve leden zonder attest (vrijwilligers, AV-leden) (1p)","")))</f>
        <v>Leiding zonder attest (1p)</v>
      </c>
      <c r="E13" s="1">
        <v>0</v>
      </c>
      <c r="F13" s="37">
        <f>IF(D13=0,0,E13)</f>
        <v>0</v>
      </c>
      <c r="G13" s="37">
        <f>F13</f>
        <v>0</v>
      </c>
      <c r="H13" s="123">
        <f>IF(OR(D5="Jeugdbeweging",D5="Jongerenbeweging",D5="Jeugdhuis",D5="Jeugdcultuurvereniging",D5="Jeugdcultuurorganisator"),(G13+G14+G15+G16+G17+G18+G19),IF(D5="Speelpleinwerking",(G16+G17+G18+G19),IF(OR(D5="Studentenvereniging",D5="Fiscale attesten",D5="Samenwerkingsovereenkomsten"),0,"")))</f>
        <v>0</v>
      </c>
      <c r="I13" s="138">
        <f>H13*I7</f>
        <v>0</v>
      </c>
      <c r="J13" s="7">
        <f t="shared" si="0"/>
        <v>0</v>
      </c>
      <c r="K13" s="37">
        <f>IF(D13=0,0,J13)</f>
        <v>0</v>
      </c>
      <c r="L13" s="37">
        <f>K13</f>
        <v>0</v>
      </c>
      <c r="M13" s="123">
        <f>IF(OR(D5="Jeugdbeweging",D5="Jongerenbeweging",D5="Jeugdhuis",D5="Jeugdcultuurvereniging",D5="Jeugdcultuurorganisator"),(L13+L14+L15+L16+L17+L18+L19),IF(D5="Speelpleinwerking",(L16+L17+L18+L19),IF(OR(D5="Studentenvereniging",D5="Fiscale attesten",D5="Samenwerkingsovereenkomsten"),0,"")))</f>
        <v>0</v>
      </c>
      <c r="N13" s="138">
        <f>M13*I7</f>
        <v>0</v>
      </c>
      <c r="O13" s="15"/>
    </row>
    <row r="14" spans="1:15" ht="29.5" customHeight="1" x14ac:dyDescent="0.35">
      <c r="A14" s="24"/>
      <c r="B14" s="110"/>
      <c r="C14" s="120"/>
      <c r="D14" s="40" t="str">
        <f>IF(OR(D5="Jeugdbeweging",D5="Jongerenbeweging"),"Leiding met animator-attest (5p)",IF(D5="Jeugdcultuurvereniging","Begeleiding met animator-attest (5p)",IF(OR(D5="Jeugdhuis",D5="Jeugdcultuurorganisator"),"Actieve leden met animator-attest en vzw-bestuursleden van het dagelijks bestuur (5p)","")))</f>
        <v>Leiding met animator-attest (5p)</v>
      </c>
      <c r="E14" s="2">
        <v>0</v>
      </c>
      <c r="F14" s="41">
        <f t="shared" ref="F14:F17" si="1">IF(D14=0,0,E14)</f>
        <v>0</v>
      </c>
      <c r="G14" s="41">
        <f>F14*5</f>
        <v>0</v>
      </c>
      <c r="H14" s="124"/>
      <c r="I14" s="124"/>
      <c r="J14" s="9">
        <f t="shared" si="0"/>
        <v>0</v>
      </c>
      <c r="K14" s="41">
        <f>IF(D14=0,0,J14)</f>
        <v>0</v>
      </c>
      <c r="L14" s="41">
        <f>K14*5</f>
        <v>0</v>
      </c>
      <c r="M14" s="136"/>
      <c r="N14" s="139"/>
      <c r="O14" s="13"/>
    </row>
    <row r="15" spans="1:15" ht="43.75" customHeight="1" x14ac:dyDescent="0.35">
      <c r="A15" s="24"/>
      <c r="B15" s="110"/>
      <c r="C15" s="120"/>
      <c r="D15" s="40" t="str">
        <f>IF(OR(D5="Jeugdbeweging",D5="Jongerenbeweging"),"Leiding met hoofdanimator-attest (10p)",IF(D5="Jeugdcultuurvereniging","Begeleiding met hoofdanimator-attest (10p)",IF(OR(D5="Jeugdhuis",D5="Jeugdcultuurorganisator"),"Actieve leden met hoofdanimator-attest en vzw-bestuursleden van het dagelijks bestuur met hoofdanimator-attest (10p)","")))</f>
        <v>Leiding met hoofdanimator-attest (10p)</v>
      </c>
      <c r="E15" s="2">
        <v>0</v>
      </c>
      <c r="F15" s="41">
        <f t="shared" si="1"/>
        <v>0</v>
      </c>
      <c r="G15" s="41">
        <f>F15*10</f>
        <v>0</v>
      </c>
      <c r="H15" s="124"/>
      <c r="I15" s="124"/>
      <c r="J15" s="9">
        <f t="shared" si="0"/>
        <v>0</v>
      </c>
      <c r="K15" s="41">
        <f>IF(D15=0,0,J15)</f>
        <v>0</v>
      </c>
      <c r="L15" s="41">
        <f>K15*10</f>
        <v>0</v>
      </c>
      <c r="M15" s="136"/>
      <c r="N15" s="139"/>
      <c r="O15" s="13"/>
    </row>
    <row r="16" spans="1:15" ht="29" x14ac:dyDescent="0.35">
      <c r="A16" s="24"/>
      <c r="B16" s="110"/>
      <c r="C16" s="120"/>
      <c r="D16" s="40" t="str">
        <f>IF(OR(D5="Jeugdbeweging",D5="Jongerenbeweging",D5="Jeugdhuis",D5="Jeugdcultuurvereniging",D5="Jeugdcultuurorganisator",D5="Speelpleinwerking"),"Eéndaagse vorming(en) voor begeleiding: aantal personen (5p)",IF(OR(D5="Studentenvereniging",D5="Fiscale attesten",D5="Samenwerkingsovereenkomsten"),""))</f>
        <v>Eéndaagse vorming(en) voor begeleiding: aantal personen (5p)</v>
      </c>
      <c r="E16" s="2">
        <v>0</v>
      </c>
      <c r="F16" s="41">
        <f t="shared" si="1"/>
        <v>0</v>
      </c>
      <c r="G16" s="41">
        <f>F16*5</f>
        <v>0</v>
      </c>
      <c r="H16" s="124"/>
      <c r="I16" s="124"/>
      <c r="J16" s="9">
        <f>E16</f>
        <v>0</v>
      </c>
      <c r="K16" s="41">
        <f>IF(D16=0,0,J16)</f>
        <v>0</v>
      </c>
      <c r="L16" s="41">
        <f>K16*5</f>
        <v>0</v>
      </c>
      <c r="M16" s="136"/>
      <c r="N16" s="139"/>
      <c r="O16" s="13"/>
    </row>
    <row r="17" spans="1:15" ht="29" x14ac:dyDescent="0.35">
      <c r="A17" s="24"/>
      <c r="B17" s="110"/>
      <c r="C17" s="120"/>
      <c r="D17" s="40" t="str">
        <f>IF(OR(D5="Jeugdbeweging",D5="Jongerenbeweging",D5="Jeugdhuis",D5="Jeugdcultuurvereniging",D5="Jeugdcultuurorganisator",D5="Speelpleinwerking"),"Meerdaagse vorming(en) voor begeleiding: som van aantal personen x aantal nachten (10p)",IF(OR(D5="Studentenvereniging",D5="Fiscale attesten",D5="Samenwerkingsovereenkomsten"),""))</f>
        <v>Meerdaagse vorming(en) voor begeleiding: som van aantal personen x aantal nachten (10p)</v>
      </c>
      <c r="E17" s="2">
        <v>0</v>
      </c>
      <c r="F17" s="41">
        <f t="shared" si="1"/>
        <v>0</v>
      </c>
      <c r="G17" s="41">
        <f>F17*10</f>
        <v>0</v>
      </c>
      <c r="H17" s="124"/>
      <c r="I17" s="124"/>
      <c r="J17" s="9">
        <f t="shared" si="0"/>
        <v>0</v>
      </c>
      <c r="K17" s="41">
        <f>IF(D17=0,0,J17)</f>
        <v>0</v>
      </c>
      <c r="L17" s="41">
        <f>K17*10</f>
        <v>0</v>
      </c>
      <c r="M17" s="136"/>
      <c r="N17" s="139"/>
      <c r="O17" s="13"/>
    </row>
    <row r="18" spans="1:15" ht="29" x14ac:dyDescent="0.35">
      <c r="A18" s="24"/>
      <c r="B18" s="110"/>
      <c r="C18" s="120"/>
      <c r="D18" s="40" t="str">
        <f>IF(OR(D5="Jeugdbeweging",D5="Jongerenbeweging"),"leidingsvergadering (1 vergadering = 2p, max. 40 vergaderingen)",IF(OR(D5="Jeugdhuis",D5="Jeugdcultuurorganisator"),"Bestuursvergadering (1 vergadering = 2p, max. 40 vergaderingen)",IF(D5="Speelpleinwerking","Animatorenvergadering (1 vergadering = 2p, max. 40 vergaderingen)",IF(D5="Jeugdcultuurvereniging","Jeugdbestuursvergadering (1 vergadering = 2p, max. 40 vergaderingen)",""))))</f>
        <v>leidingsvergadering (1 vergadering = 2p, max. 40 vergaderingen)</v>
      </c>
      <c r="E18" s="2">
        <v>0</v>
      </c>
      <c r="F18" s="41">
        <f>IF(D18=0,0,IF(E18&gt;40,40,E18))</f>
        <v>0</v>
      </c>
      <c r="G18" s="41">
        <f>F18*2</f>
        <v>0</v>
      </c>
      <c r="H18" s="124"/>
      <c r="I18" s="124"/>
      <c r="J18" s="9">
        <f t="shared" si="0"/>
        <v>0</v>
      </c>
      <c r="K18" s="41">
        <f>IF(D18=0,0,IF(J18&gt;40,40,J18))</f>
        <v>0</v>
      </c>
      <c r="L18" s="41">
        <f>K18*2</f>
        <v>0</v>
      </c>
      <c r="M18" s="136"/>
      <c r="N18" s="139"/>
      <c r="O18" s="13"/>
    </row>
    <row r="19" spans="1:15" ht="30" customHeight="1" thickBot="1" x14ac:dyDescent="0.4">
      <c r="A19" s="24"/>
      <c r="B19" s="110"/>
      <c r="C19" s="115"/>
      <c r="D19" s="38" t="str">
        <f>IF(OR(D5="Jeugdbeweging",D5="Jongerenbeweging"),"Leidingsweekend (1 weekend = 10p, max. 2 weekends)",IF(OR(D5="Jeugdhuis",D5="Jeugdcultuurorganisator"),"Bestuurweekend (1 weekend = 10p, max. 2 weekends)",IF(D5="Jeugdcultuurvereniging","Jeugdbestuursweekend (1 weekend = 10p, max. 2 weekends)",IF(D5="Speelpleinwerking","Animatorenweekend (1 weekend = 10p, max. 2 weekends)",""))))</f>
        <v>Leidingsweekend (1 weekend = 10p, max. 2 weekends)</v>
      </c>
      <c r="E19" s="3">
        <v>0</v>
      </c>
      <c r="F19" s="39">
        <f>IF(D19=0,0,IF(E19&gt;2,2,E19))</f>
        <v>0</v>
      </c>
      <c r="G19" s="39">
        <f>F19*10</f>
        <v>0</v>
      </c>
      <c r="H19" s="125"/>
      <c r="I19" s="125"/>
      <c r="J19" s="8">
        <f t="shared" si="0"/>
        <v>0</v>
      </c>
      <c r="K19" s="39">
        <f>IF(D19=0,0,IF(J19&gt;2,2,J19))</f>
        <v>0</v>
      </c>
      <c r="L19" s="39">
        <f>K19*10</f>
        <v>0</v>
      </c>
      <c r="M19" s="137"/>
      <c r="N19" s="140"/>
      <c r="O19" s="16"/>
    </row>
    <row r="20" spans="1:15" ht="28.75" customHeight="1" x14ac:dyDescent="0.35">
      <c r="A20" s="24"/>
      <c r="B20" s="110"/>
      <c r="C20" s="114" t="s">
        <v>46</v>
      </c>
      <c r="D20" s="36" t="str">
        <f>IF(OR(D5="Jeugdbeweging",D5="Jongerenbeweging"),"Werkingsactiviteiten (1 activiteit = 8p, max. 40 activiteiten)","")</f>
        <v>Werkingsactiviteiten (1 activiteit = 8p, max. 40 activiteiten)</v>
      </c>
      <c r="E20" s="1">
        <v>0</v>
      </c>
      <c r="F20" s="37">
        <f>IF(D20=0,0,IF(E20&gt;40,40,E20))</f>
        <v>0</v>
      </c>
      <c r="G20" s="37">
        <f>F20*8</f>
        <v>0</v>
      </c>
      <c r="H20" s="123">
        <f>IF(OR(D5="Jeugdbeweging",D5="Jongerenbeweging"),(G20+G33+G34+G35),IF(D5="Jeugdhuis",(G21+G33+G34+G35),IF(D5="Jeugdcultuurvereniging",(G22+G23+G24+G33+G34+G35),IF(D5="Jeugdcultuurorganisator",(G23+G24+G33+G34+G35),IF(D5="Speelpleinwerking",(G25+G26+G27+G28+G29+G30+G31+G32+G33+G34+G35),IF(OR(D5="Studentenvereniging",D5="Fiscale attesten",D5="Samenwerkingsovereenkomsten"),0,""))))))</f>
        <v>0</v>
      </c>
      <c r="I20" s="138">
        <f>H20*I7</f>
        <v>0</v>
      </c>
      <c r="J20" s="7">
        <f t="shared" si="0"/>
        <v>0</v>
      </c>
      <c r="K20" s="37">
        <f>IF(D20=0,0,IF(J20&gt;40,40,J20))</f>
        <v>0</v>
      </c>
      <c r="L20" s="37">
        <f>K20*8</f>
        <v>0</v>
      </c>
      <c r="M20" s="123">
        <f>IF(OR(D5="Jeugdbeweging",D5="Jongerenbeweging"),(L20+L33+L34+L35),IF(D5="Jeugdhuis",(L21+L33+L34+L35),IF(D5="Jeugdcultuurvereniging",(L22+L23+L24+L33+L34+L35),IF(D5="Jeugdcultuurorganisator",(L23+L24+L33+L34+L35),IF(D5="Speelpleinwerking",(L25+L26+L27+L28+L29+L30+L31+L32+L33+L34+L35),IF(OR(D5="Studentenvereniging",D5="Fiscale attesten",D5="Samenwerkingsovereenkomsten"),0,""))))))</f>
        <v>0</v>
      </c>
      <c r="N20" s="138">
        <f>M20*I7</f>
        <v>0</v>
      </c>
      <c r="O20" s="15"/>
    </row>
    <row r="21" spans="1:15" ht="42.65" customHeight="1" x14ac:dyDescent="0.35">
      <c r="A21" s="24"/>
      <c r="B21" s="110"/>
      <c r="C21" s="120"/>
      <c r="D21" s="40" t="str">
        <f>IF(OR(D5="Jeugdbeweging",D5="Jongerenbeweging",D5="Studentenvereniging",D5="Jeugdcultuurvereniging",D5="Jeugdcultuurorganisator",D5="Speelpleinwerking"),"",IF(D5="Jeugdhuis","Aantal openingsmomenten per jaar (8p per openingsmoment van minimum 5u, max. 80 openingsmomenten)",""))</f>
        <v/>
      </c>
      <c r="E21" s="2">
        <v>0</v>
      </c>
      <c r="F21" s="41">
        <f>IF(D21=0,0,IF(E21&gt;80,80,E21))</f>
        <v>0</v>
      </c>
      <c r="G21" s="41">
        <f>F21*8</f>
        <v>0</v>
      </c>
      <c r="H21" s="124"/>
      <c r="I21" s="124"/>
      <c r="J21" s="43">
        <f t="shared" si="0"/>
        <v>0</v>
      </c>
      <c r="K21" s="41">
        <f>IF(D21=0,0,IF(J21&gt;80,80,J21))</f>
        <v>0</v>
      </c>
      <c r="L21" s="41">
        <f>K21*8</f>
        <v>0</v>
      </c>
      <c r="M21" s="124"/>
      <c r="N21" s="124"/>
      <c r="O21" s="13"/>
    </row>
    <row r="22" spans="1:15" ht="30" customHeight="1" x14ac:dyDescent="0.35">
      <c r="A22" s="24"/>
      <c r="B22" s="110"/>
      <c r="C22" s="120"/>
      <c r="D22" s="40" t="str">
        <f>IF(OR(D5="Jeugdbeweging",D5="Jongerenbeweging",D5="Jeugdhuis",D5="Studentenvereniging",D5="Jeugdcultuurorganisator",D5="Speelpleinwerking"),"",IF(D5="Jeugdcultuurvereniging","Aantal repetities/werksessies (5p, max. 80 repetities/werksessies)",""))</f>
        <v/>
      </c>
      <c r="E22" s="2">
        <v>0</v>
      </c>
      <c r="F22" s="41">
        <f>IF(D22=0,0,IF(E22&gt;80,80,E22))</f>
        <v>0</v>
      </c>
      <c r="G22" s="41">
        <f>F22*5</f>
        <v>0</v>
      </c>
      <c r="H22" s="124"/>
      <c r="I22" s="124"/>
      <c r="J22" s="43">
        <f t="shared" si="0"/>
        <v>0</v>
      </c>
      <c r="K22" s="41">
        <f>IF(D22=0,0,IF(J22&gt;80,80,J22))</f>
        <v>0</v>
      </c>
      <c r="L22" s="41">
        <f>K22*5</f>
        <v>0</v>
      </c>
      <c r="M22" s="124"/>
      <c r="N22" s="124"/>
      <c r="O22" s="13"/>
    </row>
    <row r="23" spans="1:15" x14ac:dyDescent="0.35">
      <c r="A23" s="24"/>
      <c r="B23" s="110"/>
      <c r="C23" s="120"/>
      <c r="D23" s="40" t="str">
        <f>IF(OR(D5="Jeugdbeweging",D5="Jongerenbeweging",D5="Jeugdhuis",D5="Studentenvereniging",D5="Speelpleinwerking"),"",IF(OR(D5="Jeugdcultuurvereniging",D5="Jeugdcultuurorganisator"),"Aantal volledige creaties (75p, max. 5)",""))</f>
        <v/>
      </c>
      <c r="E23" s="2">
        <v>0</v>
      </c>
      <c r="F23" s="41">
        <f>IF(D23=0,0,IF(E23&gt;5,5,E23))</f>
        <v>0</v>
      </c>
      <c r="G23" s="41">
        <f>F23*75</f>
        <v>0</v>
      </c>
      <c r="H23" s="124"/>
      <c r="I23" s="124"/>
      <c r="J23" s="43">
        <f t="shared" si="0"/>
        <v>0</v>
      </c>
      <c r="K23" s="41">
        <f>IF(D23=0,0,IF(J23&gt;5,5,J23))</f>
        <v>0</v>
      </c>
      <c r="L23" s="41">
        <f>K23*75</f>
        <v>0</v>
      </c>
      <c r="M23" s="124"/>
      <c r="N23" s="124"/>
      <c r="O23" s="13"/>
    </row>
    <row r="24" spans="1:15" x14ac:dyDescent="0.35">
      <c r="A24" s="24"/>
      <c r="B24" s="110"/>
      <c r="C24" s="120"/>
      <c r="D24" s="40" t="str">
        <f>IF(OR(D5="Jeugdbeweging",D5="Jongerenbeweging",D5="Jeugdhuis",D5="Studentenvereniging",D5="Speelpleinwerking"),"",IF(OR(D5="Jeugdcultuurvereniging",D5="Jeugdcultuurorganisator"),"Aantal deelcreaties (15p, max. 10)",""))</f>
        <v/>
      </c>
      <c r="E24" s="2">
        <v>0</v>
      </c>
      <c r="F24" s="41">
        <f>IF(D24=0,0,IF(E24&gt;10,10,E24))</f>
        <v>0</v>
      </c>
      <c r="G24" s="41">
        <f>F24*15</f>
        <v>0</v>
      </c>
      <c r="H24" s="124"/>
      <c r="I24" s="124"/>
      <c r="J24" s="43">
        <f t="shared" si="0"/>
        <v>0</v>
      </c>
      <c r="K24" s="41">
        <f>IF(D24=0,0,IF(J24&gt;10,10,J24))</f>
        <v>0</v>
      </c>
      <c r="L24" s="41">
        <f>K24*15</f>
        <v>0</v>
      </c>
      <c r="M24" s="124"/>
      <c r="N24" s="124"/>
      <c r="O24" s="13"/>
    </row>
    <row r="25" spans="1:15" ht="42" customHeight="1" x14ac:dyDescent="0.35">
      <c r="A25" s="24"/>
      <c r="B25" s="110"/>
      <c r="C25" s="120"/>
      <c r="D25" s="40" t="str">
        <f>IF(OR(D5="Jeugdbeweging",D5="Jongerenbeweging",D5="Jeugdhuis",D5="Studentenvereniging",D5="Jeugdcultuurvereniging",D5="Jeugdcultuurorganisator"),"",IF(D5="Speelpleinwerking","Volle begeleidingsdagen zonder attest (som van aantal begeleiders zonder attest x aantal volledige begeleidingsdagen) (3p)",""))</f>
        <v/>
      </c>
      <c r="E25" s="2">
        <v>0</v>
      </c>
      <c r="F25" s="41">
        <f t="shared" ref="F25:F32" si="2">IF(D25=0,0,E25)</f>
        <v>0</v>
      </c>
      <c r="G25" s="41">
        <f>F25*3</f>
        <v>0</v>
      </c>
      <c r="H25" s="124"/>
      <c r="I25" s="124"/>
      <c r="J25" s="43">
        <f t="shared" si="0"/>
        <v>0</v>
      </c>
      <c r="K25" s="41">
        <f t="shared" ref="K25:K32" si="3">IF(D25=0,0,J25)</f>
        <v>0</v>
      </c>
      <c r="L25" s="41">
        <f>K25*3</f>
        <v>0</v>
      </c>
      <c r="M25" s="124"/>
      <c r="N25" s="124"/>
      <c r="O25" s="13"/>
    </row>
    <row r="26" spans="1:15" ht="43.75" customHeight="1" x14ac:dyDescent="0.35">
      <c r="A26" s="24"/>
      <c r="B26" s="110"/>
      <c r="C26" s="120"/>
      <c r="D26" s="40" t="str">
        <f>IF(OR(D5="Jeugdbeweging",D5="Jongerenbeweging",D5="Jeugdhuis",D5="Studentenvereniging",D5="Jeugdcultuurvereniging",D5="Jeugdcultuurorganisator"),"",IF(D5="Speelpleinwerking","Halve begeleidingsdagen zonder attest (som van aantal begeleiders zonder attest x aantal halve begeleidingsdagen) (1p)",""))</f>
        <v/>
      </c>
      <c r="E26" s="2">
        <v>0</v>
      </c>
      <c r="F26" s="41">
        <f t="shared" si="2"/>
        <v>0</v>
      </c>
      <c r="G26" s="41">
        <f>F26*1</f>
        <v>0</v>
      </c>
      <c r="H26" s="124"/>
      <c r="I26" s="124"/>
      <c r="J26" s="43">
        <f t="shared" ref="J26:J33" si="4">E26</f>
        <v>0</v>
      </c>
      <c r="K26" s="41">
        <f t="shared" si="3"/>
        <v>0</v>
      </c>
      <c r="L26" s="41">
        <f>K26*1</f>
        <v>0</v>
      </c>
      <c r="M26" s="124"/>
      <c r="N26" s="124"/>
      <c r="O26" s="13"/>
    </row>
    <row r="27" spans="1:15" ht="43.75" customHeight="1" x14ac:dyDescent="0.35">
      <c r="A27" s="24"/>
      <c r="B27" s="110"/>
      <c r="C27" s="120"/>
      <c r="D27" s="40" t="str">
        <f>IF(OR(D5="Jeugdbeweging",D5="Jongerenbeweging",D5="Jeugdhuis",D5="Studentenvereniging",D5="Jeugdcultuurvereniging",D5="Jeugdcultuurorganisator"),"",IF(D5="Speelpleinwerking","Volle begeleidingsdagen met animator-attest (som van aantal begeleiders met animator-attest x aantal volledige begeleidingsdagen) (6p)",""))</f>
        <v/>
      </c>
      <c r="E27" s="2">
        <v>0</v>
      </c>
      <c r="F27" s="41">
        <f t="shared" si="2"/>
        <v>0</v>
      </c>
      <c r="G27" s="41">
        <f>F27*6</f>
        <v>0</v>
      </c>
      <c r="H27" s="124"/>
      <c r="I27" s="124"/>
      <c r="J27" s="43">
        <f t="shared" si="4"/>
        <v>0</v>
      </c>
      <c r="K27" s="41">
        <f t="shared" si="3"/>
        <v>0</v>
      </c>
      <c r="L27" s="41">
        <f>K27*6</f>
        <v>0</v>
      </c>
      <c r="M27" s="124"/>
      <c r="N27" s="124"/>
      <c r="O27" s="13"/>
    </row>
    <row r="28" spans="1:15" ht="43" customHeight="1" x14ac:dyDescent="0.35">
      <c r="A28" s="24"/>
      <c r="B28" s="110"/>
      <c r="C28" s="120"/>
      <c r="D28" s="40" t="str">
        <f>IF(OR(D5="Jeugdbeweging",D5="Jongerenbeweging",D5="Jeugdhuis",D5="Studentenvereniging",D5="Jeugdcultuurvereniging",D5="Jeugdcultuurorganisator"),"",IF(D5="Speelpleinwerking","Halve begeleidingsdagen met animator-attest (som van aantal begeleiders met animator-attest x aantal halve begeleidingsdagen) (2p)",""))</f>
        <v/>
      </c>
      <c r="E28" s="2">
        <v>0</v>
      </c>
      <c r="F28" s="41">
        <f t="shared" si="2"/>
        <v>0</v>
      </c>
      <c r="G28" s="41">
        <f>F28*2</f>
        <v>0</v>
      </c>
      <c r="H28" s="124"/>
      <c r="I28" s="124"/>
      <c r="J28" s="43">
        <f t="shared" si="4"/>
        <v>0</v>
      </c>
      <c r="K28" s="41">
        <f t="shared" si="3"/>
        <v>0</v>
      </c>
      <c r="L28" s="41">
        <f>K28*2</f>
        <v>0</v>
      </c>
      <c r="M28" s="124"/>
      <c r="N28" s="124"/>
      <c r="O28" s="13"/>
    </row>
    <row r="29" spans="1:15" ht="43.75" customHeight="1" x14ac:dyDescent="0.35">
      <c r="A29" s="24"/>
      <c r="B29" s="110"/>
      <c r="C29" s="120"/>
      <c r="D29" s="40" t="str">
        <f>IF(OR(D5="Jeugdbeweging",D5="Jongerenbeweging",D5="Jeugdhuis",D5="Studentenvereniging",D5="Jeugdcultuurvereniging",D5="Jeugdcultuurorganisator"),"",IF(D5="Speelpleinwerking","Volle begeleidingsdagen met hoofdanimator-attest (som van aantal begeleiders met hoofdanimator-attest x aantal volledige begeleidingsdagen) (7,5p)",""))</f>
        <v/>
      </c>
      <c r="E29" s="2">
        <v>0</v>
      </c>
      <c r="F29" s="41">
        <f t="shared" si="2"/>
        <v>0</v>
      </c>
      <c r="G29" s="41">
        <f>F29*7.5</f>
        <v>0</v>
      </c>
      <c r="H29" s="124"/>
      <c r="I29" s="124"/>
      <c r="J29" s="43">
        <f t="shared" si="4"/>
        <v>0</v>
      </c>
      <c r="K29" s="41">
        <f t="shared" si="3"/>
        <v>0</v>
      </c>
      <c r="L29" s="41">
        <f>K29*7.5</f>
        <v>0</v>
      </c>
      <c r="M29" s="124"/>
      <c r="N29" s="124"/>
      <c r="O29" s="13"/>
    </row>
    <row r="30" spans="1:15" ht="43.4" customHeight="1" x14ac:dyDescent="0.35">
      <c r="A30" s="24"/>
      <c r="B30" s="110"/>
      <c r="C30" s="120"/>
      <c r="D30" s="40" t="str">
        <f>IF(OR(D5="Jeugdbeweging",D5="Jongerenbeweging",D5="Jeugdhuis",D5="Studentenvereniging",D5="Jeugdcultuurvereniging",D5="Jeugdcultuurorganisator"),"",IF(D5="Speelpleinwerking","Halve begeleidingsdagen met hoofdanimator-attest (som van aantal begeleiders met hoofdanimator-attest x aantal halve begeleidingsdagen) (2,5p)",""))</f>
        <v/>
      </c>
      <c r="E30" s="2">
        <v>0</v>
      </c>
      <c r="F30" s="41">
        <f t="shared" si="2"/>
        <v>0</v>
      </c>
      <c r="G30" s="41">
        <f>F30*2.5</f>
        <v>0</v>
      </c>
      <c r="H30" s="124"/>
      <c r="I30" s="124"/>
      <c r="J30" s="43">
        <f t="shared" si="4"/>
        <v>0</v>
      </c>
      <c r="K30" s="41">
        <f t="shared" si="3"/>
        <v>0</v>
      </c>
      <c r="L30" s="41">
        <f>K30*2.5</f>
        <v>0</v>
      </c>
      <c r="M30" s="124"/>
      <c r="N30" s="124"/>
      <c r="O30" s="13"/>
    </row>
    <row r="31" spans="1:15" ht="30" customHeight="1" x14ac:dyDescent="0.35">
      <c r="A31" s="24"/>
      <c r="B31" s="110"/>
      <c r="C31" s="120"/>
      <c r="D31" s="40" t="str">
        <f>IF(OR(D5="Jeugdbeweging",D5="Jongerenbeweging",D5="Jeugdhuis",D5="Studentenvereniging",D5="Jeugdcultuurvereniging",D5="Jeugdcultuurorganisator"),"",IF(D5="Speelpleinwerking","Volle deelnemersdagen (som van aantal deelnemers x aantal volledige werkingsdagen) (0,1p)",""))</f>
        <v/>
      </c>
      <c r="E31" s="2">
        <v>0</v>
      </c>
      <c r="F31" s="41">
        <f t="shared" si="2"/>
        <v>0</v>
      </c>
      <c r="G31" s="41">
        <f>F31*0.1</f>
        <v>0</v>
      </c>
      <c r="H31" s="124"/>
      <c r="I31" s="124"/>
      <c r="J31" s="43">
        <f t="shared" si="4"/>
        <v>0</v>
      </c>
      <c r="K31" s="41">
        <f t="shared" si="3"/>
        <v>0</v>
      </c>
      <c r="L31" s="41">
        <f>K31*0.1</f>
        <v>0</v>
      </c>
      <c r="M31" s="124"/>
      <c r="N31" s="124"/>
      <c r="O31" s="13"/>
    </row>
    <row r="32" spans="1:15" ht="28.75" customHeight="1" x14ac:dyDescent="0.35">
      <c r="A32" s="24"/>
      <c r="B32" s="110"/>
      <c r="C32" s="120"/>
      <c r="D32" s="40" t="str">
        <f>IF(OR(D5="Jeugdbeweging",D5="Jongerenbeweging",D5="Jeugdhuis",D5="Studentenvereniging",D5="Jeugdcultuurvereniging",D5="Jeugdcultuurorganisator"),"",IF(D5="Speelpleinwerking","Halve deelnemersdagen (som van aantal deelnemers x aantal halve werkingsdagen) (0,05p)",""))</f>
        <v/>
      </c>
      <c r="E32" s="2">
        <v>0</v>
      </c>
      <c r="F32" s="41">
        <f t="shared" si="2"/>
        <v>0</v>
      </c>
      <c r="G32" s="41">
        <f>F32*0.05</f>
        <v>0</v>
      </c>
      <c r="H32" s="124"/>
      <c r="I32" s="124"/>
      <c r="J32" s="43">
        <f t="shared" si="4"/>
        <v>0</v>
      </c>
      <c r="K32" s="41">
        <f t="shared" si="3"/>
        <v>0</v>
      </c>
      <c r="L32" s="41">
        <f>K32*0.05</f>
        <v>0</v>
      </c>
      <c r="M32" s="124"/>
      <c r="N32" s="124"/>
      <c r="O32" s="13"/>
    </row>
    <row r="33" spans="1:15" x14ac:dyDescent="0.35">
      <c r="A33" s="24"/>
      <c r="B33" s="110"/>
      <c r="C33" s="120"/>
      <c r="D33" s="40" t="str">
        <f>IF(OR(D5="Jeugdbeweging",D5="Jongerenbeweging",D5="Jeugdcultuurvereniging",D5="Speelpleinwerking"),"Andere activiteiten (16p, max.5)",IF(D5="Jeugdhuis","Andere activiteiten (16p, max.20))",IF(OR(D5="Jeugdcultuurorganisator",D5="studentenvereniging",D5="Fiscale attesten",D5="Samenwerkingsovereenkomsten"),"")))</f>
        <v>Andere activiteiten (16p, max.5)</v>
      </c>
      <c r="E33" s="2">
        <v>0</v>
      </c>
      <c r="F33" s="41">
        <f>IF(D33=0,0,IF(E33&gt;20,20,E33))</f>
        <v>0</v>
      </c>
      <c r="G33" s="41">
        <f>IF(D5="Jeugdhuis",IF(F33&gt;20,320,F33*16),IF(F33&gt;5,80,F33*16))</f>
        <v>0</v>
      </c>
      <c r="H33" s="124"/>
      <c r="I33" s="124"/>
      <c r="J33" s="9">
        <f t="shared" si="4"/>
        <v>0</v>
      </c>
      <c r="K33" s="41">
        <f>IF(D33=0,0,IF(J33&gt;20,20,J33))</f>
        <v>0</v>
      </c>
      <c r="L33" s="41">
        <f>IF(I5="Jeugdhuis",IF(K33&gt;20,320,K33*16),IF(K33&gt;5,80,K33*16))</f>
        <v>0</v>
      </c>
      <c r="M33" s="124"/>
      <c r="N33" s="124"/>
      <c r="O33" s="13"/>
    </row>
    <row r="34" spans="1:15" ht="43.5" x14ac:dyDescent="0.35">
      <c r="A34" s="24"/>
      <c r="B34" s="110"/>
      <c r="C34" s="120"/>
      <c r="D34" s="40" t="str">
        <f>IF(OR(D5="Jeugdbeweging",D5="Jongerenbeweging",D5="Jeugdcultuurvereniging",D5="Jeugdhuis",D5="Speelpleinwerking",D5="Jeugdcultuurorganisator"),"Meerdaagse activiteiten &lt;5 nachten (max. 1 per afdeling of leeftijdsgroep): Som van (aantal nachten (max.5) x aantal personen) (0,5p)",IF(OR(D5="Studentenvereniging",D5="Fiscale attesten",D5="Samenwerkingsovereenkomsten"),""))</f>
        <v>Meerdaagse activiteiten &lt;5 nachten (max. 1 per afdeling of leeftijdsgroep): Som van (aantal nachten (max.5) x aantal personen) (0,5p)</v>
      </c>
      <c r="E34" s="2">
        <v>0</v>
      </c>
      <c r="F34" s="41">
        <f>IF(D34=0,0,E34)</f>
        <v>0</v>
      </c>
      <c r="G34" s="41">
        <f>F34*0.5</f>
        <v>0</v>
      </c>
      <c r="H34" s="124"/>
      <c r="I34" s="124"/>
      <c r="J34" s="9">
        <f t="shared" ref="J34:J42" si="5">E34</f>
        <v>0</v>
      </c>
      <c r="K34" s="41">
        <f>IF(D34=0,0,J34)</f>
        <v>0</v>
      </c>
      <c r="L34" s="41">
        <f>K34*0.5</f>
        <v>0</v>
      </c>
      <c r="M34" s="124"/>
      <c r="N34" s="124"/>
      <c r="O34" s="13"/>
    </row>
    <row r="35" spans="1:15" ht="44" thickBot="1" x14ac:dyDescent="0.4">
      <c r="A35" s="24"/>
      <c r="B35" s="110"/>
      <c r="C35" s="115"/>
      <c r="D35" s="38" t="str">
        <f>IF(OR(D5="Jeugdbeweging",D5="Jongerenbeweging",D5="Jeugdcultuurvereniging",D5="Jeugdhuis",D5="Speelpleinwerking",D5="Jeugdcultuurorganisator"),"Meerdaagse activiteiten &gt;= 5 nachten (max. 1 per afdeling of leeftijdsgroep): Som van (aantal nachten (max.10) x aantal personen) (1p)",IF(OR(D5="Studentenvereniging",D5="Fiscale attesten",D5="Samenwerkingsovereenkomsten"),""))</f>
        <v>Meerdaagse activiteiten &gt;= 5 nachten (max. 1 per afdeling of leeftijdsgroep): Som van (aantal nachten (max.10) x aantal personen) (1p)</v>
      </c>
      <c r="E35" s="3">
        <v>0</v>
      </c>
      <c r="F35" s="41">
        <f>IF(D35=0,0,E35)</f>
        <v>0</v>
      </c>
      <c r="G35" s="39">
        <f>F35</f>
        <v>0</v>
      </c>
      <c r="H35" s="125"/>
      <c r="I35" s="125"/>
      <c r="J35" s="9">
        <f t="shared" si="5"/>
        <v>0</v>
      </c>
      <c r="K35" s="41">
        <f>IF(D35=0,0,J35)</f>
        <v>0</v>
      </c>
      <c r="L35" s="39">
        <f>K35</f>
        <v>0</v>
      </c>
      <c r="M35" s="125"/>
      <c r="N35" s="125"/>
      <c r="O35" s="16"/>
    </row>
    <row r="36" spans="1:15" ht="29" x14ac:dyDescent="0.35">
      <c r="A36" s="24"/>
      <c r="B36" s="110"/>
      <c r="C36" s="114" t="s">
        <v>47</v>
      </c>
      <c r="D36" s="36" t="str">
        <f>IF(OR(D5="Jeugdbeweging",D5="Jongerenbeweging",D5="Jeugdhuis",D5="Jeugdcultuurvereniging",D5="Jeugdcultuurorganisator",D5="Speelpleinwerking"),"Inspanningen in functie van bestaanszekerheid (10p, max.3 acties)",IF(OR(D5="Studentenvereniging",D5="Fiscale attesten",D5="Samenwerkingsovereenkomsten"),""))</f>
        <v>Inspanningen in functie van bestaanszekerheid (10p, max.3 acties)</v>
      </c>
      <c r="E36" s="1">
        <v>0</v>
      </c>
      <c r="F36" s="37">
        <f>IF(D36=0,0,IF(E36&gt;3,3,E36))</f>
        <v>0</v>
      </c>
      <c r="G36" s="44">
        <f>F36*10</f>
        <v>0</v>
      </c>
      <c r="H36" s="123">
        <f>IF(OR(D5="Jeugdbeweging",D5="Jongerenbeweging",D5="Jeugdhuis",D5="Jeugdcultuurvereniging",D5="Jeugdcultuurorganisator",D5="Speelpleinwerking"),(G36+G37+G38+G39+G40+G41+G42+G43+G47),IF(OR(D5="Studentenvereniging",D5="Fiscale attesten",D5="Samenwerkingsovereenkomsten"),0,""))</f>
        <v>0</v>
      </c>
      <c r="I36" s="138">
        <f>H36*I7</f>
        <v>0</v>
      </c>
      <c r="J36" s="9">
        <f t="shared" si="5"/>
        <v>0</v>
      </c>
      <c r="K36" s="37">
        <f>IF(D36=0,0,IF(J36&gt;3,3,J36))</f>
        <v>0</v>
      </c>
      <c r="L36" s="44">
        <f>K36*10</f>
        <v>0</v>
      </c>
      <c r="M36" s="123">
        <f>IF(OR(D5="Jeugdbeweging",D5="Jongerenbeweging",D5="Jeugdhuis",D5="Jeugdcultuurvereniging",D5="Jeugdcultuurorganisator",D5="Speelpleinwerking"),(L36+L37+L38+L39+L40+L41+L42+L43+L47),IF(OR(D5="Studentenvereniging",D5="Fiscale attesten",D5="Samenwerkingsovereenkomsten"),0,""))</f>
        <v>0</v>
      </c>
      <c r="N36" s="138">
        <f>M36*I7</f>
        <v>0</v>
      </c>
      <c r="O36" s="15"/>
    </row>
    <row r="37" spans="1:15" ht="29" x14ac:dyDescent="0.35">
      <c r="A37" s="24"/>
      <c r="B37" s="110"/>
      <c r="C37" s="120"/>
      <c r="D37" s="40" t="str">
        <f>IF(OR(D5="Jeugdbeweging",D5="Jongerenbeweging",D5="Jeugdhuis",D5="Jeugdcultuurvereniging",D5="Jeugdcultuurorganisator",D5="Speelpleinwerking"),"Inspanningen in functie van financiële laagdrempeligheid (10p, max. 3 acties)",IF(OR(D5="Studentenvereniging",D5="Fiscale attesten",D5="Samenwerkingsovereenkomsten"),""))</f>
        <v>Inspanningen in functie van financiële laagdrempeligheid (10p, max. 3 acties)</v>
      </c>
      <c r="E37" s="2">
        <v>0</v>
      </c>
      <c r="F37" s="41">
        <f>IF(D37=0,0,IF(E37&gt;3,3,E37))</f>
        <v>0</v>
      </c>
      <c r="G37" s="45">
        <f>F37*10</f>
        <v>0</v>
      </c>
      <c r="H37" s="124"/>
      <c r="I37" s="124"/>
      <c r="J37" s="9">
        <f t="shared" si="5"/>
        <v>0</v>
      </c>
      <c r="K37" s="41">
        <f>IF(D37=0,0,IF(J37&gt;3,3,J37))</f>
        <v>0</v>
      </c>
      <c r="L37" s="45">
        <f>K37*10</f>
        <v>0</v>
      </c>
      <c r="M37" s="124"/>
      <c r="N37" s="124"/>
      <c r="O37" s="13"/>
    </row>
    <row r="38" spans="1:15" ht="29" x14ac:dyDescent="0.35">
      <c r="A38" s="24"/>
      <c r="B38" s="110"/>
      <c r="C38" s="120"/>
      <c r="D38" s="40" t="str">
        <f>IF(OR(D5="Jeugdbeweging",D5="Jongerenbeweging",D5="Jeugdhuis",D5="Jeugdcultuurvereniging",D5="Jeugdcultuurorganisator",D5="Speelpleinwerking"),"Inspanningen in functie van bekendmaking bij externen (10p, max. 6 acties)",IF(OR(D5="Studentenvereniging",D5="Fiscale attesten",D5="Samenwerkingsovereenkomsten"),""))</f>
        <v>Inspanningen in functie van bekendmaking bij externen (10p, max. 6 acties)</v>
      </c>
      <c r="E38" s="2">
        <v>0</v>
      </c>
      <c r="F38" s="41">
        <f>IF(D38=0,0,IF(E38&gt;6,6,E38))</f>
        <v>0</v>
      </c>
      <c r="G38" s="41">
        <f>F38*10</f>
        <v>0</v>
      </c>
      <c r="H38" s="124"/>
      <c r="I38" s="124"/>
      <c r="J38" s="9">
        <f t="shared" si="5"/>
        <v>0</v>
      </c>
      <c r="K38" s="41">
        <f>IF(D38=0,0,IF(J38&gt;6,6,J38))</f>
        <v>0</v>
      </c>
      <c r="L38" s="41">
        <f>K38*10</f>
        <v>0</v>
      </c>
      <c r="M38" s="124"/>
      <c r="N38" s="124"/>
      <c r="O38" s="13"/>
    </row>
    <row r="39" spans="1:15" ht="29" x14ac:dyDescent="0.35">
      <c r="A39" s="24"/>
      <c r="B39" s="110"/>
      <c r="C39" s="120"/>
      <c r="D39" s="40" t="str">
        <f>IF(OR(D5="Jeugdbeweging",D5="Jongerenbeweging",D5="Jeugdhuis",D5="Jeugdcultuurvereniging",D5="Jeugdcultuurorganisator",D5="Speelpleinwerking"),"Inspanningen in functie van bekendmaking bij internen (naar ouders en leden) (10p, max. 6 acties)",IF(OR(D5="Studentenvereniging",D5="Fiscale attesten",D5="Samenwerkingsovereenkomsten"),""))</f>
        <v>Inspanningen in functie van bekendmaking bij internen (naar ouders en leden) (10p, max. 6 acties)</v>
      </c>
      <c r="E39" s="2">
        <v>0</v>
      </c>
      <c r="F39" s="41">
        <f>IF(D39=0,0,IF(E39&gt;6,6,E39))</f>
        <v>0</v>
      </c>
      <c r="G39" s="41">
        <f>F39*10</f>
        <v>0</v>
      </c>
      <c r="H39" s="124"/>
      <c r="I39" s="124"/>
      <c r="J39" s="9">
        <f>E39</f>
        <v>0</v>
      </c>
      <c r="K39" s="41">
        <f>IF(D39=0,0,IF(J39&gt;6,6,J39))</f>
        <v>0</v>
      </c>
      <c r="L39" s="41">
        <f>K39*10</f>
        <v>0</v>
      </c>
      <c r="M39" s="124"/>
      <c r="N39" s="124"/>
      <c r="O39" s="13"/>
    </row>
    <row r="40" spans="1:15" ht="29" x14ac:dyDescent="0.35">
      <c r="A40" s="24"/>
      <c r="B40" s="110"/>
      <c r="C40" s="120"/>
      <c r="D40" s="46" t="str">
        <f>IF(OR(D5="Jeugdbeweging",D5="Jongerenbeweging",D5="Jeugdhuis",D5="Jeugdcultuurvereniging",D5="Jeugdcultuurorganisator",D5="Speelpleinwerking"),"Inspanningen in functie van relatie met de buurt (10p, max. 3 acties)",IF(OR(D5="Studentenvereniging",D5="Fiscale attesten",D5="Samenwerkingsovereenkomsten"),""))</f>
        <v>Inspanningen in functie van relatie met de buurt (10p, max. 3 acties)</v>
      </c>
      <c r="E40" s="2">
        <v>0</v>
      </c>
      <c r="F40" s="41">
        <f>IF(D40=0,0,IF(E40&gt;3,3,E40))</f>
        <v>0</v>
      </c>
      <c r="G40" s="41">
        <f>F40*10</f>
        <v>0</v>
      </c>
      <c r="H40" s="124"/>
      <c r="I40" s="124"/>
      <c r="J40" s="9">
        <f t="shared" si="5"/>
        <v>0</v>
      </c>
      <c r="K40" s="41">
        <f>IF(D40=0,0,IF(J40&gt;3,3,J40))</f>
        <v>0</v>
      </c>
      <c r="L40" s="41">
        <f>K40*10</f>
        <v>0</v>
      </c>
      <c r="M40" s="124"/>
      <c r="N40" s="124"/>
      <c r="O40" s="13"/>
    </row>
    <row r="41" spans="1:15" ht="29" x14ac:dyDescent="0.35">
      <c r="A41" s="24"/>
      <c r="B41" s="110"/>
      <c r="C41" s="120"/>
      <c r="D41" s="40" t="str">
        <f>IF(OR(D5="Jeugdbeweging",D5="Jongerenbeweging",D5="Jeugdhuis",D5="Jeugdcultuurvereniging",D5="Jeugdcultuurorganisator",D5="Speelpleinwerking"),"Inspanningen ten voordele van een goed doel (5p, max. 1 actie)",IF(OR(D5="Studentenvereniging",D5="Fiscale attesten",D5="Samenwerkingsovereenkomsten"),""))</f>
        <v>Inspanningen ten voordele van een goed doel (5p, max. 1 actie)</v>
      </c>
      <c r="E41" s="2">
        <v>0</v>
      </c>
      <c r="F41" s="41">
        <f>IF(D41=0,0,IF(E41&gt;1,1,E41))</f>
        <v>0</v>
      </c>
      <c r="G41" s="41">
        <f>F41*5</f>
        <v>0</v>
      </c>
      <c r="H41" s="124"/>
      <c r="I41" s="124"/>
      <c r="J41" s="9">
        <f t="shared" si="5"/>
        <v>0</v>
      </c>
      <c r="K41" s="41">
        <f>IF(D41=0,0,IF(J41&gt;1,1,J41))</f>
        <v>0</v>
      </c>
      <c r="L41" s="41">
        <f>K41*5</f>
        <v>0</v>
      </c>
      <c r="M41" s="124"/>
      <c r="N41" s="124"/>
      <c r="O41" s="13"/>
    </row>
    <row r="42" spans="1:15" ht="29" x14ac:dyDescent="0.35">
      <c r="A42" s="24"/>
      <c r="B42" s="110"/>
      <c r="C42" s="120"/>
      <c r="D42" s="40" t="str">
        <f>IF(OR(D5="Jeugdbeweging",D5="Jongerenbeweging",D5="Jeugdhuis",D5="Jeugdcultuurvereniging",D5="Jeugdcultuurorganisator",D5="Speelpleinwerking"),"Inspanningen in functie van de samenwerking met andere verenigingen (5p, max. 3 acties)",IF(OR(D5="Studentenvereniging",D5="Fiscale attesten",D5="Samenwerkingsovereenkomsten"),""))</f>
        <v>Inspanningen in functie van de samenwerking met andere verenigingen (5p, max. 3 acties)</v>
      </c>
      <c r="E42" s="2">
        <v>0</v>
      </c>
      <c r="F42" s="41">
        <f>IF(D42=0,0,IF(E42&gt;3,3,E42))</f>
        <v>0</v>
      </c>
      <c r="G42" s="41">
        <f>F42*5</f>
        <v>0</v>
      </c>
      <c r="H42" s="124"/>
      <c r="I42" s="124"/>
      <c r="J42" s="9">
        <f t="shared" si="5"/>
        <v>0</v>
      </c>
      <c r="K42" s="41">
        <f>IF(D42=0,0,IF(J42&gt;3,3,J42))</f>
        <v>0</v>
      </c>
      <c r="L42" s="41">
        <f>K42*5</f>
        <v>0</v>
      </c>
      <c r="M42" s="124"/>
      <c r="N42" s="124"/>
      <c r="O42" s="13"/>
    </row>
    <row r="43" spans="1:15" x14ac:dyDescent="0.35">
      <c r="A43" s="24"/>
      <c r="B43" s="110"/>
      <c r="C43" s="120"/>
      <c r="D43" s="47" t="str">
        <f>IF(OR(D5="Jeugdbeweging",D5="Jongerenbeweging",D5="Jeugdhuis",D5="Jeugdcultuurvereniging",D5="Jeugdcultuurorganisator",D5="Speelpleinwerking"),"Inspanningen in functie van samenleven",IF(OR(D5="Studentenvereniging",D5="Fiscale attesten",D5="Samenwerkingsovereenkomsten"),""))</f>
        <v>Inspanningen in functie van samenleven</v>
      </c>
      <c r="E43" s="48"/>
      <c r="F43" s="48"/>
      <c r="G43" s="42">
        <f>IF((F44+F45+F46)&gt;5,IF((F44+F45+F46)*10*2&gt;150,150,(F44+F45+F46)*10*2),(F44+F45+F46)*10)</f>
        <v>0</v>
      </c>
      <c r="H43" s="124"/>
      <c r="I43" s="124"/>
      <c r="J43" s="48"/>
      <c r="K43" s="49"/>
      <c r="L43" s="42">
        <f>IF((K44+K45+K46)&gt;5,IF((K44+K45+K46)*10*2&gt;150,150,(K44+K45+K46)*10*2),(K44+K45+K46)*10)</f>
        <v>0</v>
      </c>
      <c r="M43" s="124"/>
      <c r="N43" s="124"/>
      <c r="O43" s="12"/>
    </row>
    <row r="44" spans="1:15" ht="29" x14ac:dyDescent="0.35">
      <c r="A44" s="24"/>
      <c r="B44" s="110"/>
      <c r="C44" s="120"/>
      <c r="D44" s="40" t="str">
        <f>IF(OR(D5="Jeugdbeweging",D5="Jongerenbeweging",D5="Jeugdhuis",D5="Jeugdcultuurvereniging",D5="Jeugdcultuurorganisator",D5="Speelpleinwerking"),"Inspanningen in functie van toegankelijkheid (10p, max. 6 acties)",IF(OR(D5="Studentenvereniging",D5="Fiscale attesten", D5="Samenwerkingsovereenkomsten"),""))</f>
        <v>Inspanningen in functie van toegankelijkheid (10p, max. 6 acties)</v>
      </c>
      <c r="E44" s="2">
        <v>0</v>
      </c>
      <c r="F44" s="41">
        <f>IF(D44=0,0,IF(E44&gt;6,6,E44))</f>
        <v>0</v>
      </c>
      <c r="G44" s="41">
        <f>F44*10</f>
        <v>0</v>
      </c>
      <c r="H44" s="124"/>
      <c r="I44" s="124"/>
      <c r="J44" s="9">
        <f t="shared" ref="J44:J49" si="6">E44</f>
        <v>0</v>
      </c>
      <c r="K44" s="41">
        <f>IF(D44=0,0,IF(J44&gt;6,6,J44))</f>
        <v>0</v>
      </c>
      <c r="L44" s="41">
        <f>K44*10</f>
        <v>0</v>
      </c>
      <c r="M44" s="124"/>
      <c r="N44" s="124"/>
      <c r="O44" s="13"/>
    </row>
    <row r="45" spans="1:15" ht="29" x14ac:dyDescent="0.35">
      <c r="A45" s="24"/>
      <c r="B45" s="110"/>
      <c r="C45" s="120"/>
      <c r="D45" s="40" t="str">
        <f>IF(OR(D5="Jeugdbeweging",D5="Jongerenbeweging",D5="Jeugdhuis",D5="Jeugdcultuurvereniging",D5="Jeugdcultuurorganisator",D5="Speelpleinwerking"),"Inspanningen in functie van identiteit (10p, max. 6 acties)",IF(OR(D5="Studentenvereniging",D5="Fiscale attesten",D5="Samenwerkingsovereenkomsten"),""))</f>
        <v>Inspanningen in functie van identiteit (10p, max. 6 acties)</v>
      </c>
      <c r="E45" s="2">
        <v>0</v>
      </c>
      <c r="F45" s="41">
        <f>IF(D45=0,0,IF(E45&gt;6,6,E45))</f>
        <v>0</v>
      </c>
      <c r="G45" s="41">
        <f>F45*10</f>
        <v>0</v>
      </c>
      <c r="H45" s="124"/>
      <c r="I45" s="124"/>
      <c r="J45" s="9">
        <f t="shared" si="6"/>
        <v>0</v>
      </c>
      <c r="K45" s="41">
        <f>IF(D45=0,0,IF(J45&gt;6,6,J45))</f>
        <v>0</v>
      </c>
      <c r="L45" s="41">
        <f>K45*10</f>
        <v>0</v>
      </c>
      <c r="M45" s="124"/>
      <c r="N45" s="124"/>
      <c r="O45" s="13"/>
    </row>
    <row r="46" spans="1:15" x14ac:dyDescent="0.35">
      <c r="A46" s="24"/>
      <c r="B46" s="110"/>
      <c r="C46" s="120"/>
      <c r="D46" s="40" t="str">
        <f>IF(OR(D5="Jeugdbeweging",D5="Jongerenbeweging",D5="Jeugdhuis",D5="Jeugdcultuurvereniging",D5="Jeugdcultuurorganisator",D5="Speelpleinwerking"),"Werken met de Uitpas (10p)",IF(OR(D5="Studentenvereniging",D5="Fiscale attesten",D5="Samenwerkingsovereenkomsten"),""))</f>
        <v>Werken met de Uitpas (10p)</v>
      </c>
      <c r="E46" s="2">
        <v>0</v>
      </c>
      <c r="F46" s="41">
        <f>IF(D46=0,0,IF(E46&gt;1,1,E46))</f>
        <v>0</v>
      </c>
      <c r="G46" s="41">
        <f>F46*10</f>
        <v>0</v>
      </c>
      <c r="H46" s="124"/>
      <c r="I46" s="124"/>
      <c r="J46" s="9">
        <f t="shared" si="6"/>
        <v>0</v>
      </c>
      <c r="K46" s="41">
        <f>IF(D46=0,0,IF(J46&gt;1,1,J46))</f>
        <v>0</v>
      </c>
      <c r="L46" s="41">
        <f>K46*10</f>
        <v>0</v>
      </c>
      <c r="M46" s="124"/>
      <c r="N46" s="124"/>
      <c r="O46" s="13"/>
    </row>
    <row r="47" spans="1:15" x14ac:dyDescent="0.35">
      <c r="A47" s="24"/>
      <c r="B47" s="110"/>
      <c r="C47" s="120"/>
      <c r="D47" s="47" t="str">
        <f>IF(OR(D5="Jeugdbeweging",D5="Jongerenbeweging",D5="Jeugdhuis",D5="Jeugdcultuurvereniging",D5="Jeugdcultuurorganisator",D5="Speelpleinwerking"),"Inspanningen in functie van duurzaamheid",IF(OR(D5="Studentenvereniging",D5="Fiscale attesten",D5="Samenwerkingsovereenkomsten"),""))</f>
        <v>Inspanningen in functie van duurzaamheid</v>
      </c>
      <c r="E47" s="50"/>
      <c r="F47" s="49"/>
      <c r="G47" s="42">
        <f>IF((F48+F49+F50+F51+F52)&gt;5,IF((F48+F49+F50+F51+F52)*10*2&gt;150,150,(F48+F49+F50+F51+F52)*10*2),(F48+F49+F50+F51+F52)*10)</f>
        <v>0</v>
      </c>
      <c r="H47" s="124"/>
      <c r="I47" s="124"/>
      <c r="J47" s="48"/>
      <c r="K47" s="49"/>
      <c r="L47" s="42">
        <f>IF((K48+K49+K50+K51+K52)&gt;5,IF((K48+K49+K50+K51+K52)*10*2&gt;150,150,(K48+K49+K50+K51+K52)*10*2),(K48+K49+K50+K51+K52)*10)</f>
        <v>0</v>
      </c>
      <c r="M47" s="124"/>
      <c r="N47" s="124"/>
      <c r="O47" s="12"/>
    </row>
    <row r="48" spans="1:15" x14ac:dyDescent="0.35">
      <c r="A48" s="24"/>
      <c r="B48" s="110"/>
      <c r="C48" s="120"/>
      <c r="D48" s="51" t="str">
        <f>IF(OR(D5="Jeugdbeweging",D5="Jongerenbeweging",D5="Jeugdhuis",D5="Jeugdcultuurvereniging",D5="Jeugdcultuurorganisator",D5="Speelpleinwerking"),"Voeding (10p, max. 3 acties)",IF(OR(D5="Studentenvereniging",D5="Fiscale attesten",D5="Samenwerkingsovereenkomsten"),""))</f>
        <v>Voeding (10p, max. 3 acties)</v>
      </c>
      <c r="E48" s="2">
        <v>0</v>
      </c>
      <c r="F48" s="41">
        <f>IF(D48=0,0,IF(E48&gt;3,3,E48))</f>
        <v>0</v>
      </c>
      <c r="G48" s="41">
        <f>F48*10</f>
        <v>0</v>
      </c>
      <c r="H48" s="124"/>
      <c r="I48" s="124"/>
      <c r="J48" s="9">
        <f t="shared" si="6"/>
        <v>0</v>
      </c>
      <c r="K48" s="41">
        <f>IF(D48=0,0,IF(J48&gt;3,3,J48))</f>
        <v>0</v>
      </c>
      <c r="L48" s="41">
        <f>K48*10</f>
        <v>0</v>
      </c>
      <c r="M48" s="124"/>
      <c r="N48" s="124"/>
      <c r="O48" s="13"/>
    </row>
    <row r="49" spans="1:15" x14ac:dyDescent="0.35">
      <c r="A49" s="24"/>
      <c r="B49" s="110"/>
      <c r="C49" s="120"/>
      <c r="D49" s="51" t="str">
        <f>IF(OR(D5="Jeugdbeweging",D5="Jongerenbeweging",D5="Jeugdhuis",D5="Jeugdcultuurvereniging",D5="Jeugdcultuurorganisator",D5="Speelpleinwerking"),"Energie &amp; Water (10p, max. 3 acties)",IF(OR(D5="Studentenvereniging",D5="Fiscale attesten",D5="Samenwerkingsovereenkomsten"),""))</f>
        <v>Energie &amp; Water (10p, max. 3 acties)</v>
      </c>
      <c r="E49" s="2">
        <v>0</v>
      </c>
      <c r="F49" s="41">
        <f t="shared" ref="F49:F52" si="7">IF(D49=0,0,IF(E49&gt;3,3,E49))</f>
        <v>0</v>
      </c>
      <c r="G49" s="41">
        <f t="shared" ref="G49:G52" si="8">F49*10</f>
        <v>0</v>
      </c>
      <c r="H49" s="124"/>
      <c r="I49" s="124"/>
      <c r="J49" s="9">
        <f t="shared" si="6"/>
        <v>0</v>
      </c>
      <c r="K49" s="41">
        <f>IF(D49=0,0,IF(J49&gt;3,3,J49))</f>
        <v>0</v>
      </c>
      <c r="L49" s="41">
        <f t="shared" ref="L49:L52" si="9">K49*10</f>
        <v>0</v>
      </c>
      <c r="M49" s="124"/>
      <c r="N49" s="124"/>
      <c r="O49" s="13"/>
    </row>
    <row r="50" spans="1:15" x14ac:dyDescent="0.35">
      <c r="A50" s="24"/>
      <c r="B50" s="110"/>
      <c r="C50" s="120"/>
      <c r="D50" s="51" t="str">
        <f>IF(OR(D5="Jeugdbeweging",D5="Jongerenbeweging",D5="Jeugdhuis",D5="Jeugdcultuurvereniging",D5="Jeugdcultuurorganisator",D5="Speelpleinwerking"),"Afval (10p, max. 3 acties)",IF(OR(D5="Studentenvereniging",D5="Fiscale attesten",D5="Samenwerkingsovereenkomsten"),""))</f>
        <v>Afval (10p, max. 3 acties)</v>
      </c>
      <c r="E50" s="2">
        <v>0</v>
      </c>
      <c r="F50" s="41">
        <f t="shared" si="7"/>
        <v>0</v>
      </c>
      <c r="G50" s="41">
        <f t="shared" si="8"/>
        <v>0</v>
      </c>
      <c r="H50" s="124"/>
      <c r="I50" s="124"/>
      <c r="J50" s="9">
        <f>E50</f>
        <v>0</v>
      </c>
      <c r="K50" s="41">
        <f>IF(D50=0,0,IF(J50&gt;3,3,J50))</f>
        <v>0</v>
      </c>
      <c r="L50" s="41">
        <f t="shared" si="9"/>
        <v>0</v>
      </c>
      <c r="M50" s="124"/>
      <c r="N50" s="124"/>
      <c r="O50" s="13"/>
    </row>
    <row r="51" spans="1:15" x14ac:dyDescent="0.35">
      <c r="A51" s="24"/>
      <c r="B51" s="110"/>
      <c r="C51" s="120"/>
      <c r="D51" s="51" t="str">
        <f>IF(OR(D5="Jeugdbeweging",D5="Jongerenbeweging",D5="Jeugdhuis",D5="Jeugdcultuurvereniging",D5="Jeugdcultuurorganisator",D5="Speelpleinwerking"),"Mobiliteit (10p, max. 3 acties)",IF(OR(D5="Studentenvereniging",D5="Fiscale attesten",D5="Samenwerkingsovereenkomsten"),""))</f>
        <v>Mobiliteit (10p, max. 3 acties)</v>
      </c>
      <c r="E51" s="2">
        <v>0</v>
      </c>
      <c r="F51" s="41">
        <f t="shared" si="7"/>
        <v>0</v>
      </c>
      <c r="G51" s="41">
        <f t="shared" si="8"/>
        <v>0</v>
      </c>
      <c r="H51" s="124"/>
      <c r="I51" s="124"/>
      <c r="J51" s="9">
        <f>E51</f>
        <v>0</v>
      </c>
      <c r="K51" s="41">
        <f>IF(D51=0,0,IF(J51&gt;3,3,J51))</f>
        <v>0</v>
      </c>
      <c r="L51" s="41">
        <f t="shared" si="9"/>
        <v>0</v>
      </c>
      <c r="M51" s="124"/>
      <c r="N51" s="124"/>
      <c r="O51" s="13"/>
    </row>
    <row r="52" spans="1:15" ht="15" thickBot="1" x14ac:dyDescent="0.4">
      <c r="A52" s="24"/>
      <c r="B52" s="110"/>
      <c r="C52" s="126"/>
      <c r="D52" s="52" t="str">
        <f>IF(OR(D5="Jeugdbeweging",D5="Jongerenbeweging",D5="Jeugdhuis",D5="Jeugdcultuurvereniging",D5="Jeugdcultuurorganisator",D5="Speelpleinwerking"),"Natuur (10p, max. 3 acties)",IF(OR(D5="Studentenvereniging",D5="Fiscale attesten",D5="Samenwerkingsovereenkomsten"),""))</f>
        <v>Natuur (10p, max. 3 acties)</v>
      </c>
      <c r="E52" s="4">
        <v>0</v>
      </c>
      <c r="F52" s="53">
        <f t="shared" si="7"/>
        <v>0</v>
      </c>
      <c r="G52" s="53">
        <f t="shared" si="8"/>
        <v>0</v>
      </c>
      <c r="H52" s="127"/>
      <c r="I52" s="127"/>
      <c r="J52" s="9">
        <f>E52</f>
        <v>0</v>
      </c>
      <c r="K52" s="53">
        <f>IF(D52=0,0,IF(J52&gt;3,3,J52))</f>
        <v>0</v>
      </c>
      <c r="L52" s="53">
        <f t="shared" si="9"/>
        <v>0</v>
      </c>
      <c r="M52" s="127"/>
      <c r="N52" s="127"/>
      <c r="O52" s="16"/>
    </row>
    <row r="53" spans="1:15" ht="15" thickBot="1" x14ac:dyDescent="0.4">
      <c r="A53" s="24"/>
      <c r="B53" s="143" t="s">
        <v>48</v>
      </c>
      <c r="C53" s="144"/>
      <c r="D53" s="144"/>
      <c r="E53" s="144"/>
      <c r="F53" s="144"/>
      <c r="G53" s="145"/>
      <c r="H53" s="54">
        <f>H11+H13+H20</f>
        <v>0</v>
      </c>
      <c r="I53" s="55">
        <f>I10+I11+I13+I20+I36</f>
        <v>225</v>
      </c>
      <c r="J53" s="133"/>
      <c r="K53" s="134"/>
      <c r="L53" s="134"/>
      <c r="M53" s="54">
        <f>M11+M13+M20</f>
        <v>0</v>
      </c>
      <c r="N53" s="55">
        <f>N10+N11+N13+N20+N36</f>
        <v>225</v>
      </c>
      <c r="O53" s="35"/>
    </row>
    <row r="54" spans="1:15" ht="15" thickBot="1" x14ac:dyDescent="0.4">
      <c r="A54" s="24"/>
      <c r="B54" s="86" t="s">
        <v>49</v>
      </c>
      <c r="C54" s="89" t="s">
        <v>50</v>
      </c>
      <c r="D54" s="90"/>
      <c r="E54" s="90"/>
      <c r="F54" s="90"/>
      <c r="G54" s="90"/>
      <c r="H54" s="90"/>
      <c r="I54" s="90"/>
      <c r="J54" s="56"/>
      <c r="K54" s="57"/>
      <c r="L54" s="57"/>
      <c r="M54" s="58"/>
      <c r="N54" s="59"/>
      <c r="O54" s="60"/>
    </row>
    <row r="55" spans="1:15" ht="97.4" customHeight="1" x14ac:dyDescent="0.35">
      <c r="A55" s="24"/>
      <c r="B55" s="87"/>
      <c r="C55" s="104" t="s">
        <v>51</v>
      </c>
      <c r="D55" s="105"/>
      <c r="E55" s="105"/>
      <c r="F55" s="105"/>
      <c r="G55" s="105"/>
      <c r="H55" s="105"/>
      <c r="I55" s="100"/>
      <c r="J55" s="101"/>
      <c r="K55" s="102"/>
      <c r="L55" s="102"/>
      <c r="M55" s="102"/>
      <c r="N55" s="102"/>
      <c r="O55" s="103"/>
    </row>
    <row r="56" spans="1:15" x14ac:dyDescent="0.35">
      <c r="A56" s="24"/>
      <c r="B56" s="87"/>
      <c r="C56" s="94" t="s">
        <v>52</v>
      </c>
      <c r="D56" s="95"/>
      <c r="E56" s="5">
        <v>0</v>
      </c>
      <c r="F56" s="61"/>
      <c r="G56" s="62"/>
      <c r="H56" s="62"/>
      <c r="I56" s="11">
        <f>IF(OR($D$5="Jeugdbeweging",$D$5="Jongerenbeweging",$D$5="Jeugdhuis",$D$5="Jeugdcultuurvereniging",$D$5="Speelpleinwerking",$D$5="Samenwerkingsovereenkomsten"),E56,IF(OR($D$5="Studentenvereniging",$D$5="Jeugdcultuurorganisator",$D$5="Fiscale attesten"),0,""))</f>
        <v>0</v>
      </c>
      <c r="J56" s="10">
        <f>E56</f>
        <v>0</v>
      </c>
      <c r="K56" s="61"/>
      <c r="L56" s="62"/>
      <c r="M56" s="62"/>
      <c r="N56" s="11">
        <f>IF(OR($D$5="Jeugdbeweging",$D$5="Jongerenbeweging",$D$5="Jeugdhuis",$D$5="Jeugdcultuurvereniging",$D$5="Speelpleinwerking",$D$5="Samenwerkingsovereenkomsten"),J56,IF(OR($D$5="Studentenvereniging",$D$5="Jeugdcultuurorganisator",$D$5="Fiscale attesten"),0,""))</f>
        <v>0</v>
      </c>
      <c r="O56" s="13"/>
    </row>
    <row r="57" spans="1:15" x14ac:dyDescent="0.35">
      <c r="A57" s="24"/>
      <c r="B57" s="87"/>
      <c r="C57" s="94" t="s">
        <v>53</v>
      </c>
      <c r="D57" s="95"/>
      <c r="E57" s="5">
        <v>0</v>
      </c>
      <c r="F57" s="61"/>
      <c r="G57" s="62"/>
      <c r="H57" s="62"/>
      <c r="I57" s="11">
        <f>IF(OR($D$5="Jeugdbeweging",$D$5="Jongerenbeweging",$D$5="Jeugdhuis",$D$5="Jeugdcultuurvereniging",$D$5="Speelpleinwerking",$D$5="Samenwerkingsovereenkomsten"),E57,IF(OR($D$5="Studentenvereniging",$D$5="Jeugdcultuurorganisator",$D$5="Fiscale attesten"),0,""))</f>
        <v>0</v>
      </c>
      <c r="J57" s="10">
        <f>E57</f>
        <v>0</v>
      </c>
      <c r="K57" s="61"/>
      <c r="L57" s="62"/>
      <c r="M57" s="62"/>
      <c r="N57" s="11">
        <f>IF(OR($D$5="Jeugdbeweging",$D$5="Jongerenbeweging",$D$5="Jeugdhuis",$D$5="Jeugdcultuurvereniging",$D$5="Speelpleinwerking",$D$5="Samenwerkingsovereenkomsten"),J57,IF(OR($D$5="Studentenvereniging",$D$5="Jeugdcultuurorganisator",$D$5="Fiscale attesten"),0,""))</f>
        <v>0</v>
      </c>
      <c r="O57" s="13"/>
    </row>
    <row r="58" spans="1:15" x14ac:dyDescent="0.35">
      <c r="A58" s="24"/>
      <c r="B58" s="87"/>
      <c r="C58" s="94" t="s">
        <v>54</v>
      </c>
      <c r="D58" s="95"/>
      <c r="E58" s="5">
        <v>0</v>
      </c>
      <c r="F58" s="61"/>
      <c r="G58" s="62"/>
      <c r="H58" s="62"/>
      <c r="I58" s="11">
        <f>IF(OR($D$5="Jeugdbeweging",$D$5="Jongerenbeweging",$D$5="Jeugdhuis",$D$5="Jeugdcultuurvereniging",$D$5="Speelpleinwerking",$D$5="Samenwerkingsovereenkomsten"),E58,IF(OR($D$5="Studentenvereniging",$D$5="Jeugdcultuurorganisator",$D$5="Fiscale attesten"),0,""))</f>
        <v>0</v>
      </c>
      <c r="J58" s="10">
        <f>E58</f>
        <v>0</v>
      </c>
      <c r="K58" s="61"/>
      <c r="L58" s="62"/>
      <c r="M58" s="62"/>
      <c r="N58" s="11">
        <f>IF(OR($D$5="Jeugdbeweging",$D$5="Jongerenbeweging",$D$5="Jeugdhuis",$D$5="Jeugdcultuurvereniging",$D$5="Speelpleinwerking",$D$5="Samenwerkingsovereenkomsten"),J58,IF(OR($D$5="Studentenvereniging",$D$5="Jeugdcultuurorganisator",$D$5="Fiscale attesten"),0,""))</f>
        <v>0</v>
      </c>
      <c r="O58" s="13"/>
    </row>
    <row r="59" spans="1:15" x14ac:dyDescent="0.35">
      <c r="A59" s="24"/>
      <c r="B59" s="87"/>
      <c r="C59" s="94" t="s">
        <v>55</v>
      </c>
      <c r="D59" s="95"/>
      <c r="E59" s="5">
        <v>0</v>
      </c>
      <c r="F59" s="61"/>
      <c r="G59" s="62"/>
      <c r="H59" s="62"/>
      <c r="I59" s="11">
        <f>IF(OR($D$5="Jeugdbeweging",$D$5="Jongerenbeweging",$D$5="Jeugdhuis",$D$5="Jeugdcultuurvereniging",$D$5="Speelpleinwerking",$D$5="Samenwerkingsovereenkomsten"),E59,IF(OR($D$5="Studentenvereniging",$D$5="Jeugdcultuurorganisator",$D$5="Fiscale attesten"),0,""))</f>
        <v>0</v>
      </c>
      <c r="J59" s="10">
        <f>E59</f>
        <v>0</v>
      </c>
      <c r="K59" s="61"/>
      <c r="L59" s="62"/>
      <c r="M59" s="62"/>
      <c r="N59" s="11">
        <f>IF(OR($D$5="Jeugdbeweging",$D$5="Jongerenbeweging",$D$5="Jeugdhuis",$D$5="Jeugdcultuurvereniging",$D$5="Speelpleinwerking",$D$5="Samenwerkingsovereenkomsten"),J59,IF(OR($D$5="Studentenvereniging",$D$5="Jeugdcultuurorganisator",$D$5="Fiscale attesten"),0,""))</f>
        <v>0</v>
      </c>
      <c r="O59" s="13"/>
    </row>
    <row r="60" spans="1:15" x14ac:dyDescent="0.35">
      <c r="A60" s="24"/>
      <c r="B60" s="87"/>
      <c r="C60" s="94" t="s">
        <v>56</v>
      </c>
      <c r="D60" s="95"/>
      <c r="E60" s="5">
        <v>0</v>
      </c>
      <c r="F60" s="61"/>
      <c r="G60" s="62"/>
      <c r="H60" s="62"/>
      <c r="I60" s="11">
        <f>IF(OR($D$5="Jeugdbeweging",$D$5="Jongerenbeweging",$D$5="Jeugdhuis",$D$5="Jeugdcultuurvereniging",$D$5="Speelpleinwerking",$D$5="Samenwerkingsovereenkomsten"),E60,IF(OR($D$5="Studentenvereniging",$D$5="Jeugdcultuurorganisator",$D$5="Fiscale attesten"),0,""))</f>
        <v>0</v>
      </c>
      <c r="J60" s="10">
        <f>E60</f>
        <v>0</v>
      </c>
      <c r="K60" s="61"/>
      <c r="L60" s="62"/>
      <c r="M60" s="62"/>
      <c r="N60" s="11">
        <f>IF(OR($D$5="Jeugdbeweging",$D$5="Jongerenbeweging",$D$5="Jeugdhuis",$D$5="Jeugdcultuurvereniging",$D$5="Speelpleinwerking",$D$5="Samenwerkingsovereenkomsten"),J60,IF(OR($D$5="Studentenvereniging",$D$5="Jeugdcultuurorganisator",$D$5="Fiscale attesten"),0,""))</f>
        <v>0</v>
      </c>
      <c r="O60" s="13"/>
    </row>
    <row r="61" spans="1:15" ht="15" thickBot="1" x14ac:dyDescent="0.4">
      <c r="A61" s="24"/>
      <c r="B61" s="87"/>
      <c r="C61" s="89" t="s">
        <v>57</v>
      </c>
      <c r="D61" s="90"/>
      <c r="E61" s="90"/>
      <c r="F61" s="90"/>
      <c r="G61" s="90"/>
      <c r="H61" s="90"/>
      <c r="I61" s="90"/>
      <c r="J61" s="56"/>
      <c r="K61" s="57"/>
      <c r="L61" s="57"/>
      <c r="M61" s="58"/>
      <c r="N61" s="59"/>
      <c r="O61" s="60"/>
    </row>
    <row r="62" spans="1:15" ht="46.4" customHeight="1" x14ac:dyDescent="0.35">
      <c r="A62" s="24"/>
      <c r="B62" s="87"/>
      <c r="C62" s="104" t="s">
        <v>58</v>
      </c>
      <c r="D62" s="105"/>
      <c r="E62" s="105"/>
      <c r="F62" s="105"/>
      <c r="G62" s="105"/>
      <c r="H62" s="105"/>
      <c r="I62" s="100"/>
      <c r="J62" s="98"/>
      <c r="K62" s="99"/>
      <c r="L62" s="99"/>
      <c r="M62" s="99"/>
      <c r="N62" s="99"/>
      <c r="O62" s="100"/>
    </row>
    <row r="63" spans="1:15" x14ac:dyDescent="0.35">
      <c r="A63" s="24"/>
      <c r="B63" s="87"/>
      <c r="C63" s="94" t="s">
        <v>59</v>
      </c>
      <c r="D63" s="95"/>
      <c r="E63" s="5">
        <v>0</v>
      </c>
      <c r="F63" s="61"/>
      <c r="G63" s="62"/>
      <c r="H63" s="62"/>
      <c r="I63" s="63"/>
      <c r="J63" s="10">
        <f>E63</f>
        <v>0</v>
      </c>
      <c r="K63" s="61"/>
      <c r="L63" s="62"/>
      <c r="M63" s="62"/>
      <c r="N63" s="63"/>
      <c r="O63" s="13"/>
    </row>
    <row r="64" spans="1:15" x14ac:dyDescent="0.35">
      <c r="A64" s="24"/>
      <c r="B64" s="87"/>
      <c r="C64" s="94" t="s">
        <v>60</v>
      </c>
      <c r="D64" s="95"/>
      <c r="E64" s="5">
        <v>0</v>
      </c>
      <c r="F64" s="61"/>
      <c r="G64" s="62"/>
      <c r="H64" s="62"/>
      <c r="I64" s="63"/>
      <c r="J64" s="10">
        <f>E64</f>
        <v>0</v>
      </c>
      <c r="K64" s="61"/>
      <c r="L64" s="62"/>
      <c r="M64" s="62"/>
      <c r="N64" s="63"/>
      <c r="O64" s="13"/>
    </row>
    <row r="65" spans="1:15" x14ac:dyDescent="0.35">
      <c r="A65" s="24"/>
      <c r="B65" s="87"/>
      <c r="C65" s="94" t="s">
        <v>61</v>
      </c>
      <c r="D65" s="95"/>
      <c r="E65" s="5">
        <v>0</v>
      </c>
      <c r="F65" s="61"/>
      <c r="G65" s="62"/>
      <c r="H65" s="62"/>
      <c r="I65" s="63"/>
      <c r="J65" s="10">
        <f>E65</f>
        <v>0</v>
      </c>
      <c r="K65" s="61"/>
      <c r="L65" s="62"/>
      <c r="M65" s="62"/>
      <c r="N65" s="63"/>
      <c r="O65" s="13"/>
    </row>
    <row r="66" spans="1:15" ht="15" customHeight="1" thickBot="1" x14ac:dyDescent="0.4">
      <c r="A66" s="24"/>
      <c r="B66" s="87"/>
      <c r="C66" s="94" t="s">
        <v>62</v>
      </c>
      <c r="D66" s="95"/>
      <c r="E66" s="5">
        <v>0</v>
      </c>
      <c r="F66" s="64"/>
      <c r="G66" s="64"/>
      <c r="H66" s="6"/>
      <c r="I66" s="63"/>
      <c r="J66" s="10">
        <f>E66</f>
        <v>0</v>
      </c>
      <c r="K66" s="61"/>
      <c r="L66" s="62"/>
      <c r="M66" s="62"/>
      <c r="N66" s="63"/>
      <c r="O66" s="14"/>
    </row>
    <row r="67" spans="1:15" ht="15" thickBot="1" x14ac:dyDescent="0.4">
      <c r="A67" s="24"/>
      <c r="B67" s="87"/>
      <c r="C67" s="94" t="s">
        <v>63</v>
      </c>
      <c r="D67" s="95"/>
      <c r="E67" s="64"/>
      <c r="F67" s="64"/>
      <c r="G67" s="64"/>
      <c r="H67" s="6"/>
      <c r="I67" s="65">
        <f>IF(OR($D$5="Jeugdbeweging",$D$5="Jongerenbeweging",$D$5="Jeugdhuis",$D$5="Jeugdcultuurvereniging",$D$5="Speelpleinwerking",$D$5="Samenwerkingsovereenkomsten"),(E63+E64+E65+E66)*0.8,IF(OR($D$5="Studentenvereniging",$D$5="Jeugdcultuurorganisator",$D$5="Fiscale attesten"),0,""))</f>
        <v>0</v>
      </c>
      <c r="J67" s="56"/>
      <c r="K67" s="57"/>
      <c r="L67" s="57"/>
      <c r="M67" s="58"/>
      <c r="N67" s="65">
        <f>IF(OR($D$5="Jeugdbeweging",$D$5="Jongerenbeweging",$D$5="Jeugdhuis",$D$5="Jeugdcultuurvereniging",$D$5="Speelpleinwerking",$D$5="Samenwerkingsovereenkomsten"),(J63+J64+J65+J66)*0.8,IF(OR($D$5="Studentenvereniging",$D$5="Jeugdcultuurorganisator",$D$5="Fiscale attesten"),0,""))</f>
        <v>0</v>
      </c>
      <c r="O67" s="60"/>
    </row>
    <row r="68" spans="1:15" ht="15" thickBot="1" x14ac:dyDescent="0.4">
      <c r="A68" s="24"/>
      <c r="B68" s="87"/>
      <c r="C68" s="89" t="s">
        <v>64</v>
      </c>
      <c r="D68" s="90"/>
      <c r="E68" s="90"/>
      <c r="F68" s="90"/>
      <c r="G68" s="90"/>
      <c r="H68" s="90"/>
      <c r="I68" s="90"/>
      <c r="J68" s="56"/>
      <c r="K68" s="57"/>
      <c r="L68" s="57"/>
      <c r="M68" s="58"/>
      <c r="N68" s="59"/>
      <c r="O68" s="60"/>
    </row>
    <row r="69" spans="1:15" ht="29.5" customHeight="1" thickBot="1" x14ac:dyDescent="0.4">
      <c r="A69" s="24"/>
      <c r="B69" s="87"/>
      <c r="C69" s="91" t="s">
        <v>65</v>
      </c>
      <c r="D69" s="92"/>
      <c r="E69" s="141"/>
      <c r="F69" s="141"/>
      <c r="G69" s="141"/>
      <c r="H69" s="141"/>
      <c r="I69" s="141"/>
      <c r="J69" s="83"/>
      <c r="K69" s="84"/>
      <c r="L69" s="84"/>
      <c r="M69" s="84"/>
      <c r="N69" s="84"/>
      <c r="O69" s="97"/>
    </row>
    <row r="70" spans="1:15" ht="15" thickBot="1" x14ac:dyDescent="0.4">
      <c r="A70" s="24"/>
      <c r="B70" s="87"/>
      <c r="C70" s="94" t="s">
        <v>66</v>
      </c>
      <c r="D70" s="95"/>
      <c r="E70" s="5" t="s">
        <v>9</v>
      </c>
      <c r="F70" s="61"/>
      <c r="G70" s="62"/>
      <c r="H70" s="62"/>
      <c r="I70" s="63"/>
      <c r="J70" s="10" t="s">
        <v>9</v>
      </c>
      <c r="K70" s="66"/>
      <c r="L70" s="66"/>
      <c r="M70" s="80"/>
      <c r="N70" s="81"/>
      <c r="O70" s="82"/>
    </row>
    <row r="71" spans="1:15" ht="15" thickBot="1" x14ac:dyDescent="0.4">
      <c r="A71" s="24"/>
      <c r="B71" s="87"/>
      <c r="C71" s="94" t="s">
        <v>67</v>
      </c>
      <c r="D71" s="95"/>
      <c r="E71" s="11" t="str">
        <f>IF($E$70="Ja",E56*0.9,"")</f>
        <v/>
      </c>
      <c r="F71" s="61"/>
      <c r="G71" s="62"/>
      <c r="H71" s="62"/>
      <c r="I71" s="11" t="str">
        <f>E71</f>
        <v/>
      </c>
      <c r="J71" s="11" t="str">
        <f>IF($J$70="Ja",J56*0.9,"")</f>
        <v/>
      </c>
      <c r="K71" s="67"/>
      <c r="L71" s="67"/>
      <c r="M71" s="60"/>
      <c r="N71" s="79" t="str">
        <f>J71</f>
        <v/>
      </c>
      <c r="O71" s="79"/>
    </row>
    <row r="72" spans="1:15" ht="15" thickBot="1" x14ac:dyDescent="0.4">
      <c r="A72" s="24"/>
      <c r="B72" s="87"/>
      <c r="C72" s="94" t="s">
        <v>68</v>
      </c>
      <c r="D72" s="95"/>
      <c r="E72" s="11" t="str">
        <f>IF($E$70="Ja",E57,"")</f>
        <v/>
      </c>
      <c r="F72" s="61"/>
      <c r="G72" s="62"/>
      <c r="H72" s="62"/>
      <c r="I72" s="11" t="str">
        <f t="shared" ref="I72:I76" si="10">E72</f>
        <v/>
      </c>
      <c r="J72" s="11" t="str">
        <f>IF($J$70="Ja",J57,"")</f>
        <v/>
      </c>
      <c r="K72" s="67"/>
      <c r="L72" s="67"/>
      <c r="M72" s="60"/>
      <c r="N72" s="11" t="str">
        <f t="shared" ref="N72:N76" si="11">J72</f>
        <v/>
      </c>
      <c r="O72" s="11"/>
    </row>
    <row r="73" spans="1:15" ht="15" thickBot="1" x14ac:dyDescent="0.4">
      <c r="A73" s="24"/>
      <c r="B73" s="87"/>
      <c r="C73" s="94" t="s">
        <v>69</v>
      </c>
      <c r="D73" s="95"/>
      <c r="E73" s="11" t="str">
        <f>IF($E$70="Ja",E58*0,"")</f>
        <v/>
      </c>
      <c r="F73" s="61"/>
      <c r="G73" s="62"/>
      <c r="H73" s="62"/>
      <c r="I73" s="11" t="str">
        <f>E73</f>
        <v/>
      </c>
      <c r="J73" s="11" t="str">
        <f>IF($J$70="Ja",J58*0,"")</f>
        <v/>
      </c>
      <c r="K73" s="67"/>
      <c r="L73" s="67"/>
      <c r="M73" s="60"/>
      <c r="N73" s="11" t="str">
        <f t="shared" si="11"/>
        <v/>
      </c>
      <c r="O73" s="11"/>
    </row>
    <row r="74" spans="1:15" ht="15" thickBot="1" x14ac:dyDescent="0.4">
      <c r="A74" s="24"/>
      <c r="B74" s="87"/>
      <c r="C74" s="94" t="s">
        <v>70</v>
      </c>
      <c r="D74" s="95"/>
      <c r="E74" s="11" t="str">
        <f>IF($E$70="Ja",E59*0,"")</f>
        <v/>
      </c>
      <c r="F74" s="61"/>
      <c r="G74" s="62"/>
      <c r="H74" s="62"/>
      <c r="I74" s="11" t="str">
        <f t="shared" si="10"/>
        <v/>
      </c>
      <c r="J74" s="11" t="str">
        <f>IF($J$70="Ja",J59*0,"")</f>
        <v/>
      </c>
      <c r="K74" s="67"/>
      <c r="L74" s="67"/>
      <c r="M74" s="60"/>
      <c r="N74" s="11" t="str">
        <f t="shared" si="11"/>
        <v/>
      </c>
      <c r="O74" s="11"/>
    </row>
    <row r="75" spans="1:15" ht="15" thickBot="1" x14ac:dyDescent="0.4">
      <c r="A75" s="24"/>
      <c r="B75" s="87"/>
      <c r="C75" s="94" t="s">
        <v>71</v>
      </c>
      <c r="D75" s="95"/>
      <c r="E75" s="11" t="str">
        <f>IF($E$70="Ja",E60,"")</f>
        <v/>
      </c>
      <c r="F75" s="61"/>
      <c r="G75" s="62"/>
      <c r="H75" s="62"/>
      <c r="I75" s="11" t="str">
        <f t="shared" si="10"/>
        <v/>
      </c>
      <c r="J75" s="11" t="str">
        <f>IF($J$70="Ja",J60,"")</f>
        <v/>
      </c>
      <c r="K75" s="67"/>
      <c r="L75" s="67"/>
      <c r="M75" s="60"/>
      <c r="N75" s="11" t="str">
        <f t="shared" si="11"/>
        <v/>
      </c>
      <c r="O75" s="11"/>
    </row>
    <row r="76" spans="1:15" ht="15" thickBot="1" x14ac:dyDescent="0.4">
      <c r="A76" s="24"/>
      <c r="B76" s="87"/>
      <c r="C76" s="94" t="s">
        <v>72</v>
      </c>
      <c r="D76" s="95"/>
      <c r="E76" s="11" t="str">
        <f>IF($E$70="Ja",(E63+E64+E65+E66)*0.6,"")</f>
        <v/>
      </c>
      <c r="F76" s="61"/>
      <c r="G76" s="62"/>
      <c r="H76" s="62"/>
      <c r="I76" s="11" t="str">
        <f t="shared" si="10"/>
        <v/>
      </c>
      <c r="J76" s="11" t="str">
        <f>IF($J$70="Ja",(J63+J64+J65+J66)*0.6,"")</f>
        <v/>
      </c>
      <c r="K76" s="67"/>
      <c r="L76" s="67"/>
      <c r="M76" s="60"/>
      <c r="N76" s="11" t="str">
        <f t="shared" si="11"/>
        <v/>
      </c>
      <c r="O76" s="11"/>
    </row>
    <row r="77" spans="1:15" ht="15" thickBot="1" x14ac:dyDescent="0.4">
      <c r="A77" s="24"/>
      <c r="B77" s="87"/>
      <c r="C77" s="89" t="s">
        <v>73</v>
      </c>
      <c r="D77" s="90"/>
      <c r="E77" s="90"/>
      <c r="F77" s="90"/>
      <c r="G77" s="90"/>
      <c r="H77" s="90"/>
      <c r="I77" s="90"/>
      <c r="J77" s="56"/>
      <c r="K77" s="57"/>
      <c r="L77" s="57"/>
      <c r="M77" s="58"/>
      <c r="N77" s="59"/>
      <c r="O77" s="60"/>
    </row>
    <row r="78" spans="1:15" ht="29.5" customHeight="1" thickBot="1" x14ac:dyDescent="0.4">
      <c r="A78" s="24"/>
      <c r="B78" s="87"/>
      <c r="C78" s="91" t="s">
        <v>74</v>
      </c>
      <c r="D78" s="92"/>
      <c r="E78" s="93"/>
      <c r="F78" s="93"/>
      <c r="G78" s="93"/>
      <c r="H78" s="93"/>
      <c r="I78" s="93"/>
      <c r="J78" s="83"/>
      <c r="K78" s="84"/>
      <c r="L78" s="84"/>
      <c r="M78" s="84"/>
      <c r="N78" s="84"/>
      <c r="O78" s="85"/>
    </row>
    <row r="79" spans="1:15" ht="15" thickBot="1" x14ac:dyDescent="0.4">
      <c r="A79" s="24"/>
      <c r="B79" s="87"/>
      <c r="C79" s="94" t="s">
        <v>75</v>
      </c>
      <c r="D79" s="95"/>
      <c r="E79" s="5">
        <v>0</v>
      </c>
      <c r="F79" s="61"/>
      <c r="G79" s="62"/>
      <c r="H79" s="62"/>
      <c r="I79" s="63"/>
      <c r="J79" s="10">
        <f>E79</f>
        <v>0</v>
      </c>
      <c r="K79" s="57"/>
      <c r="L79" s="57"/>
      <c r="M79" s="58"/>
      <c r="N79" s="77"/>
      <c r="O79" s="15"/>
    </row>
    <row r="80" spans="1:15" ht="15" thickBot="1" x14ac:dyDescent="0.4">
      <c r="A80" s="24"/>
      <c r="B80" s="87"/>
      <c r="C80" s="94" t="s">
        <v>76</v>
      </c>
      <c r="D80" s="96"/>
      <c r="E80" s="5">
        <v>0</v>
      </c>
      <c r="F80" s="61"/>
      <c r="G80" s="62"/>
      <c r="H80" s="62"/>
      <c r="I80" s="63"/>
      <c r="J80" s="10">
        <f>E80</f>
        <v>0</v>
      </c>
      <c r="K80" s="57"/>
      <c r="L80" s="57"/>
      <c r="M80" s="58"/>
      <c r="N80" s="77"/>
      <c r="O80" s="13"/>
    </row>
    <row r="81" spans="1:15" ht="15" thickBot="1" x14ac:dyDescent="0.4">
      <c r="A81" s="24"/>
      <c r="B81" s="88"/>
      <c r="C81" s="68"/>
      <c r="D81" s="76" t="s">
        <v>77</v>
      </c>
      <c r="E81" s="69"/>
      <c r="F81" s="70"/>
      <c r="G81" s="71"/>
      <c r="H81" s="72"/>
      <c r="I81" s="65">
        <f>IF(OR($D$5="Jeugdbeweging",$D$5="Jongerenbeweging",$D$5="Jeugdhuis",$D$5="Jeugdcultuurvereniging",$D$5="Speelpleinwerking",$D$5="Samenwerkingsovereenkomsten"),IF((E79)*0.5&gt;250,250,E79*0.5)+IF(E80&gt;50,50,E80),IF(OR($D$5="Studentenvereniging",$D$5="Jeugdcultuurorganisator",$D$5="Fiscale attesten"),0,""))</f>
        <v>0</v>
      </c>
      <c r="J81" s="73"/>
      <c r="K81" s="57"/>
      <c r="L81" s="57"/>
      <c r="M81" s="58"/>
      <c r="N81" s="78">
        <f>IF(OR($D$5="Jeugdbeweging",$D$5="Jongerenbeweging",$D$5="Jeugdhuis",$D$5="Jeugdcultuurvereniging",$D$5="Speelpleinwerking",$D$5="Samenwerkingsovereenkomsten"),IF((J79)*0.5&gt;250,250,J79*0.5)+IF(J80&gt;50,50,J80),IF(OR($D$5="Studentenvereniging",$D$5="Jeugdcultuurorganisator",$D$5="Fiscale attesten"),0,""))</f>
        <v>0</v>
      </c>
      <c r="O81" s="6"/>
    </row>
    <row r="82" spans="1:15" ht="15" thickBot="1" x14ac:dyDescent="0.4">
      <c r="A82" s="24"/>
      <c r="B82" s="128" t="s">
        <v>78</v>
      </c>
      <c r="C82" s="129"/>
      <c r="D82" s="130"/>
      <c r="E82" s="131"/>
      <c r="F82" s="131"/>
      <c r="G82" s="131"/>
      <c r="H82" s="132"/>
      <c r="I82" s="74">
        <f>IF(E70="Ja",SUM(I71:I76)+I81,SUM(I56+I57+I58+I59+I60+I67+I81))</f>
        <v>0</v>
      </c>
      <c r="J82" s="133"/>
      <c r="K82" s="134"/>
      <c r="L82" s="134"/>
      <c r="M82" s="135"/>
      <c r="N82" s="74">
        <f>IF(J70="Ja",SUM(N71:N76)+N81,(N56+N57+N58+N59+N60+N67+N81))</f>
        <v>0</v>
      </c>
      <c r="O82" s="60"/>
    </row>
    <row r="83" spans="1:15" x14ac:dyDescent="0.35">
      <c r="A83" s="24"/>
      <c r="B83" s="75"/>
      <c r="C83" s="75"/>
      <c r="D83" s="75"/>
      <c r="E83" s="75"/>
      <c r="F83" s="75"/>
      <c r="G83" s="75"/>
      <c r="H83" s="75"/>
      <c r="I83" s="75"/>
      <c r="J83" s="24"/>
    </row>
  </sheetData>
  <sheetProtection algorithmName="SHA-512" hashValue="jp2/dxNPeGZ8MpZPgmVd/hGOpzjWpOyXxY+tCAHiH6WzJK34+FmkNmH4k2rFElN+HHKSH8ZFuDe+b6ljYu7xLg==" saltValue="CmandVCGA/73f1Ot6Hysfg==" spinCount="100000" sheet="1" objects="1" scenarios="1" selectLockedCells="1"/>
  <protectedRanges>
    <protectedRange sqref="O70:O81 O63:O66 O56:O60 O11:O52 J11:J52 J56:J60 J63:J66 E63:E66 E56:E60 E11:E52 D6 D4" name="Bereik1"/>
  </protectedRanges>
  <mergeCells count="70">
    <mergeCell ref="O8:O9"/>
    <mergeCell ref="B8:D9"/>
    <mergeCell ref="B53:G53"/>
    <mergeCell ref="J8:L9"/>
    <mergeCell ref="M8:M9"/>
    <mergeCell ref="N8:N9"/>
    <mergeCell ref="J10:L10"/>
    <mergeCell ref="M11:M12"/>
    <mergeCell ref="N11:N12"/>
    <mergeCell ref="I8:I9"/>
    <mergeCell ref="I13:I19"/>
    <mergeCell ref="I20:I35"/>
    <mergeCell ref="I36:I52"/>
    <mergeCell ref="B82:H82"/>
    <mergeCell ref="J82:M82"/>
    <mergeCell ref="M13:M19"/>
    <mergeCell ref="N13:N19"/>
    <mergeCell ref="M20:M35"/>
    <mergeCell ref="N20:N35"/>
    <mergeCell ref="M36:M52"/>
    <mergeCell ref="N36:N52"/>
    <mergeCell ref="C64:D64"/>
    <mergeCell ref="C65:D65"/>
    <mergeCell ref="J53:L53"/>
    <mergeCell ref="C69:I69"/>
    <mergeCell ref="C70:D70"/>
    <mergeCell ref="C76:D76"/>
    <mergeCell ref="C68:I68"/>
    <mergeCell ref="C67:D67"/>
    <mergeCell ref="C2:I2"/>
    <mergeCell ref="E8:G9"/>
    <mergeCell ref="H8:H9"/>
    <mergeCell ref="B10:B52"/>
    <mergeCell ref="C10:D10"/>
    <mergeCell ref="E10:G10"/>
    <mergeCell ref="C11:C12"/>
    <mergeCell ref="H11:H12"/>
    <mergeCell ref="I11:I12"/>
    <mergeCell ref="C13:C19"/>
    <mergeCell ref="E7:H7"/>
    <mergeCell ref="H13:H19"/>
    <mergeCell ref="C20:C35"/>
    <mergeCell ref="H20:H35"/>
    <mergeCell ref="C36:C52"/>
    <mergeCell ref="H36:H52"/>
    <mergeCell ref="C54:I54"/>
    <mergeCell ref="C63:D63"/>
    <mergeCell ref="C57:D57"/>
    <mergeCell ref="C58:D58"/>
    <mergeCell ref="C59:D59"/>
    <mergeCell ref="C60:D60"/>
    <mergeCell ref="C56:D56"/>
    <mergeCell ref="C62:I62"/>
    <mergeCell ref="C55:I55"/>
    <mergeCell ref="J78:O78"/>
    <mergeCell ref="B54:B81"/>
    <mergeCell ref="C77:I77"/>
    <mergeCell ref="C78:I78"/>
    <mergeCell ref="C79:D79"/>
    <mergeCell ref="C80:D80"/>
    <mergeCell ref="C72:D72"/>
    <mergeCell ref="C73:D73"/>
    <mergeCell ref="C74:D74"/>
    <mergeCell ref="C75:D75"/>
    <mergeCell ref="J69:O69"/>
    <mergeCell ref="C71:D71"/>
    <mergeCell ref="J62:O62"/>
    <mergeCell ref="C61:I61"/>
    <mergeCell ref="J55:O55"/>
    <mergeCell ref="C66:D66"/>
  </mergeCells>
  <conditionalFormatting sqref="C56">
    <cfRule type="expression" dxfId="166" priority="297">
      <formula>IF(OR(D5="Politieke jongerenbeweging",D5="Studentenvereniging",D5="Jeugdcultuurorganisator",D5="Fiscale attesten"),1)</formula>
    </cfRule>
  </conditionalFormatting>
  <conditionalFormatting sqref="C57">
    <cfRule type="expression" dxfId="165" priority="296">
      <formula>IF(OR(D5="Politieke jongerenbeweging",D5="Studentenvereniging",D5="Jeugdcultuurorganisator",D5="Fiscale attesten"),1)</formula>
    </cfRule>
  </conditionalFormatting>
  <conditionalFormatting sqref="C58">
    <cfRule type="expression" dxfId="164" priority="295">
      <formula>IF(OR(D5="Politieke jongerenbeweging",D5="Studentenvereniging",D5="Jeugdcultuurorganisator",D5="Fiscale attesten"),1)</formula>
    </cfRule>
  </conditionalFormatting>
  <conditionalFormatting sqref="C59">
    <cfRule type="expression" dxfId="163" priority="294">
      <formula>IF(OR(D5="Politieke jongerenbeweging",D5="Studentenvereniging",D5="Jeugdcultuurorganisator",D5="Fiscale attesten"),1)</formula>
    </cfRule>
  </conditionalFormatting>
  <conditionalFormatting sqref="C60">
    <cfRule type="expression" dxfId="162" priority="293">
      <formula>IF(OR(D5="Politieke jongerenbeweging",D5="Studentenvereniging",D5="Jeugdcultuurorganisator",D5="Fiscale attesten"),1)</formula>
    </cfRule>
  </conditionalFormatting>
  <conditionalFormatting sqref="C63">
    <cfRule type="expression" dxfId="161" priority="292">
      <formula>IF(OR(D5="Politieke jongerenbeweging",D5="Studentenvereniging",D5="Jeugdcultuurorganisator",D5="Fiscale attesten"),1)</formula>
    </cfRule>
  </conditionalFormatting>
  <conditionalFormatting sqref="C65">
    <cfRule type="expression" dxfId="160" priority="288">
      <formula>IF(OR(D5="Politieke jongerenbeweging",D5="Studentenvereniging",D5="Jeugdcultuurorganisator",D5="Fiscale attesten"),1)</formula>
    </cfRule>
  </conditionalFormatting>
  <conditionalFormatting sqref="C66">
    <cfRule type="expression" dxfId="159" priority="114">
      <formula>IF(OR(D5="Politieke jongerenbeweging",D5="Studentenvereniging",D5="Jeugdcultuurorganisator",D5="Fiscale attesten"),1)</formula>
    </cfRule>
  </conditionalFormatting>
  <conditionalFormatting sqref="C67">
    <cfRule type="expression" dxfId="158" priority="112">
      <formula>IF(OR(D5="Politieke jongerenbeweging",D5="Studentenvereniging",D5="Jeugdcultuurorganisator",D5="Fiscale attesten"),1)</formula>
    </cfRule>
  </conditionalFormatting>
  <conditionalFormatting sqref="C70">
    <cfRule type="expression" dxfId="157" priority="124">
      <formula>IF(OR(D5="Politieke jongerenbeweging",D5="Studentenvereniging",D5="Jeugdcultuurorganisator",D5="Fiscale attesten"),1)</formula>
    </cfRule>
  </conditionalFormatting>
  <conditionalFormatting sqref="C71">
    <cfRule type="expression" dxfId="156" priority="121">
      <formula>IF(OR(D5="Politieke jongerenbeweging",D5="Studentenvereniging",D5="Jeugdcultuurorganisator",D5="Fiscale attesten"),1)</formula>
    </cfRule>
  </conditionalFormatting>
  <conditionalFormatting sqref="C72">
    <cfRule type="expression" dxfId="155" priority="58">
      <formula>IF(OR(D5="Politieke jongerenbeweging",D5="Studentenvereniging",D5="Jeugdcultuurorganisator",D5="Fiscale attesten"),1)</formula>
    </cfRule>
  </conditionalFormatting>
  <conditionalFormatting sqref="C73">
    <cfRule type="expression" dxfId="154" priority="57">
      <formula>IF(OR(D5="Politieke jongerenbeweging",D5="Studentenvereniging",D5="Jeugdcultuurorganisator",D5="Fiscale attesten"),1)</formula>
    </cfRule>
  </conditionalFormatting>
  <conditionalFormatting sqref="C74">
    <cfRule type="expression" dxfId="153" priority="56">
      <formula>IF(OR(D5="Politieke jongerenbeweging",D5="Studentenvereniging",D5="Jeugdcultuurorganisator",D5="Fiscale attesten"),1)</formula>
    </cfRule>
  </conditionalFormatting>
  <conditionalFormatting sqref="C75">
    <cfRule type="expression" dxfId="152" priority="55">
      <formula>IF(OR(D5="Politieke jongerenbeweging",D5="Studentenvereniging",D5="Jeugdcultuurorganisator",D5="Fiscale attesten"),1)</formula>
    </cfRule>
  </conditionalFormatting>
  <conditionalFormatting sqref="C76">
    <cfRule type="expression" dxfId="151" priority="123">
      <formula>IF(OR(D5="Politieke jongerenbeweging",D5="Studentenvereniging",D5="Jeugdcultuurorganisator",D5="Fiscale attesten"),1)</formula>
    </cfRule>
  </conditionalFormatting>
  <conditionalFormatting sqref="C79">
    <cfRule type="expression" dxfId="150" priority="19">
      <formula>IF(OR(D14="Politieke jongerenbeweging",D14="Studentenvereniging",D14="Jeugdcultuurorganisator",D14="Fiscale attesten"),1)</formula>
    </cfRule>
  </conditionalFormatting>
  <conditionalFormatting sqref="C80:C81">
    <cfRule type="expression" dxfId="149" priority="18">
      <formula>IF(OR(D14="Politieke jongerenbeweging",D14="Studentenvereniging",D14="Jeugdcultuurorganisator",D14="Fiscale attesten"),1)</formula>
    </cfRule>
  </conditionalFormatting>
  <conditionalFormatting sqref="C64:D64">
    <cfRule type="expression" dxfId="148" priority="20">
      <formula>IF(OR(D5="Politieke jongerenbeweging",D5="Studentenvereniging",D5="Jeugdcultuurorganisator",D5="Fiscale attesten"),1)</formula>
    </cfRule>
  </conditionalFormatting>
  <conditionalFormatting sqref="D11:D52">
    <cfRule type="expression" dxfId="147" priority="274">
      <formula>IF(D11="",1)</formula>
    </cfRule>
  </conditionalFormatting>
  <conditionalFormatting sqref="D21">
    <cfRule type="expression" dxfId="146" priority="352">
      <formula>IF(D5="Jeugdbeweging",D21)</formula>
    </cfRule>
  </conditionalFormatting>
  <conditionalFormatting sqref="E11:E18">
    <cfRule type="expression" dxfId="145" priority="131">
      <formula>IF(D11="",1)</formula>
    </cfRule>
  </conditionalFormatting>
  <conditionalFormatting sqref="E18">
    <cfRule type="expression" dxfId="144" priority="368">
      <formula>IF($E$18&gt;40,1)</formula>
    </cfRule>
  </conditionalFormatting>
  <conditionalFormatting sqref="E19">
    <cfRule type="expression" dxfId="143" priority="344">
      <formula>IF(D18="",1)</formula>
    </cfRule>
    <cfRule type="expression" dxfId="142" priority="367">
      <formula>IF($E$19&gt;2,1)</formula>
    </cfRule>
  </conditionalFormatting>
  <conditionalFormatting sqref="E20">
    <cfRule type="expression" dxfId="141" priority="366">
      <formula>IF($E$20&gt;40,1)</formula>
    </cfRule>
  </conditionalFormatting>
  <conditionalFormatting sqref="E20:E35">
    <cfRule type="expression" dxfId="140" priority="277">
      <formula>IF(D20="",1)</formula>
    </cfRule>
  </conditionalFormatting>
  <conditionalFormatting sqref="E21">
    <cfRule type="expression" dxfId="139" priority="365">
      <formula>IF($E$21&gt;80,1)</formula>
    </cfRule>
  </conditionalFormatting>
  <conditionalFormatting sqref="E22">
    <cfRule type="expression" dxfId="138" priority="60">
      <formula>IF(D5="Jeugdcultuurvereniging",IF(E22&gt;80,1,""))</formula>
    </cfRule>
  </conditionalFormatting>
  <conditionalFormatting sqref="E23">
    <cfRule type="expression" dxfId="137" priority="364">
      <formula>IF($E$23&gt;5,1)</formula>
    </cfRule>
  </conditionalFormatting>
  <conditionalFormatting sqref="E24">
    <cfRule type="expression" dxfId="136" priority="363">
      <formula>IF($E$24&gt;10,1)</formula>
    </cfRule>
  </conditionalFormatting>
  <conditionalFormatting sqref="E33">
    <cfRule type="expression" dxfId="135" priority="62">
      <formula>IF(OR(D5="Jeugdbeweging",D5="Jongerenbeweging",D5="Jeugdcultuurvereniging",D5="Jeugdcultuurorganisator",D5="Speelpleinwerking"),IF(E33&gt;5,1),IF(D5="Jeugdhuis",IF(E33&gt;20,1),IF(OR(D5="studentenvereniging",D5="Fiscale attesten",D5="Samenwerkingsovereenkomsten"),"")))</formula>
    </cfRule>
  </conditionalFormatting>
  <conditionalFormatting sqref="E36">
    <cfRule type="expression" dxfId="134" priority="283">
      <formula>IF($E$36&gt;3,1)</formula>
    </cfRule>
  </conditionalFormatting>
  <conditionalFormatting sqref="E36:E42">
    <cfRule type="expression" dxfId="133" priority="103">
      <formula>IF(D36="",1)</formula>
    </cfRule>
  </conditionalFormatting>
  <conditionalFormatting sqref="E37">
    <cfRule type="expression" dxfId="132" priority="282">
      <formula>IF($E$37&gt;3,1)</formula>
    </cfRule>
  </conditionalFormatting>
  <conditionalFormatting sqref="E38">
    <cfRule type="expression" dxfId="131" priority="361">
      <formula>IF($E$38&gt;6,1)</formula>
    </cfRule>
  </conditionalFormatting>
  <conditionalFormatting sqref="E39">
    <cfRule type="expression" dxfId="130" priority="336">
      <formula>IF($E$39&gt;6,1)</formula>
    </cfRule>
  </conditionalFormatting>
  <conditionalFormatting sqref="E40">
    <cfRule type="expression" dxfId="129" priority="360">
      <formula>IF($E$40&gt;3,1)</formula>
    </cfRule>
  </conditionalFormatting>
  <conditionalFormatting sqref="E41">
    <cfRule type="expression" dxfId="128" priority="359">
      <formula>IF($E$41&gt;1,1)</formula>
    </cfRule>
  </conditionalFormatting>
  <conditionalFormatting sqref="E42">
    <cfRule type="expression" dxfId="127" priority="358">
      <formula>IF($E$42&gt;3,1)</formula>
    </cfRule>
  </conditionalFormatting>
  <conditionalFormatting sqref="E44">
    <cfRule type="expression" dxfId="126" priority="357">
      <formula>IF($E$44&gt;6,1)</formula>
    </cfRule>
  </conditionalFormatting>
  <conditionalFormatting sqref="E44:E46">
    <cfRule type="expression" dxfId="125" priority="330">
      <formula>IF(D44="",1)</formula>
    </cfRule>
  </conditionalFormatting>
  <conditionalFormatting sqref="E45">
    <cfRule type="expression" dxfId="124" priority="356">
      <formula>IF($E$45&gt;6,1)</formula>
    </cfRule>
  </conditionalFormatting>
  <conditionalFormatting sqref="E46">
    <cfRule type="expression" dxfId="123" priority="355">
      <formula>IF($E$46&gt;1,1)</formula>
    </cfRule>
  </conditionalFormatting>
  <conditionalFormatting sqref="E47">
    <cfRule type="expression" dxfId="122" priority="329">
      <formula>IF(D47=0,1)</formula>
    </cfRule>
    <cfRule type="expression" dxfId="121" priority="354">
      <formula>IF($E$47&gt;1,1)</formula>
    </cfRule>
  </conditionalFormatting>
  <conditionalFormatting sqref="E48">
    <cfRule type="expression" dxfId="120" priority="353">
      <formula>IF($E$48&gt;3,1)</formula>
    </cfRule>
  </conditionalFormatting>
  <conditionalFormatting sqref="E48:E52">
    <cfRule type="expression" dxfId="119" priority="98">
      <formula>IF(D48="",1)</formula>
    </cfRule>
  </conditionalFormatting>
  <conditionalFormatting sqref="E49">
    <cfRule type="expression" dxfId="118" priority="97">
      <formula>IF($E$49&gt;3,1)</formula>
    </cfRule>
  </conditionalFormatting>
  <conditionalFormatting sqref="E50">
    <cfRule type="expression" dxfId="117" priority="96">
      <formula>IF($E$50&gt;3,1)</formula>
    </cfRule>
  </conditionalFormatting>
  <conditionalFormatting sqref="E51">
    <cfRule type="expression" dxfId="116" priority="95">
      <formula>IF($E$51&gt;3,1)</formula>
    </cfRule>
  </conditionalFormatting>
  <conditionalFormatting sqref="E52">
    <cfRule type="expression" dxfId="115" priority="94">
      <formula>IF($E$52&gt;3,1)</formula>
    </cfRule>
  </conditionalFormatting>
  <conditionalFormatting sqref="E56">
    <cfRule type="expression" dxfId="114" priority="326">
      <formula>IF(OR(D5="Politieke jongerenbeweging",D5="Studentenvereniging",D5="Jeugdcultuurorganisator",D5="Fiscale attesten"),1)</formula>
    </cfRule>
  </conditionalFormatting>
  <conditionalFormatting sqref="E57">
    <cfRule type="expression" dxfId="113" priority="325">
      <formula>IF(OR(D5="Politieke jongerenbeweging",D5="Studentenvereniging",D5="Jeugdcultuurorganisator",D5="Fiscale attesten"),1)</formula>
    </cfRule>
  </conditionalFormatting>
  <conditionalFormatting sqref="E58">
    <cfRule type="expression" dxfId="112" priority="324">
      <formula>IF(OR(D5="Politieke jongerenbeweging",D5="Studentenvereniging",D5="Jeugdcultuurorganisator",D5="Fiscale attesten"),1)</formula>
    </cfRule>
  </conditionalFormatting>
  <conditionalFormatting sqref="E59">
    <cfRule type="expression" dxfId="111" priority="323">
      <formula>IF(OR(D5="Politieke jongerenbeweging",D5="Studentenvereniging",D5="Jeugdcultuurorganisator",D5="Fiscale attesten"),1)</formula>
    </cfRule>
  </conditionalFormatting>
  <conditionalFormatting sqref="E60">
    <cfRule type="expression" dxfId="110" priority="322">
      <formula>IF(OR(D5="Politieke jongerenbeweging",D5="Studentenvereniging",D5="Jeugdcultuurorganisator",D5="Fiscale attesten"),1)</formula>
    </cfRule>
  </conditionalFormatting>
  <conditionalFormatting sqref="E63">
    <cfRule type="expression" dxfId="109" priority="285">
      <formula>IF(OR(D5="Politieke jongerenbeweging",D5="Studentenvereniging",D5="Jeugdcultuurorganisator",D5="Fiscale attesten"),1)</formula>
    </cfRule>
  </conditionalFormatting>
  <conditionalFormatting sqref="E64">
    <cfRule type="expression" dxfId="108" priority="46">
      <formula>IF(OR(D5="Politieke jongerenbeweging",D5="Studentenvereniging",D5="Jeugdcultuurorganisator",D5="Fiscale attesten"),1)</formula>
    </cfRule>
  </conditionalFormatting>
  <conditionalFormatting sqref="E65">
    <cfRule type="expression" dxfId="107" priority="45">
      <formula>IF(OR(D5="Politieke jongerenbeweging",D5="Studentenvereniging",D5="Jeugdcultuurorganisator",D5="Fiscale attesten"),1)</formula>
    </cfRule>
  </conditionalFormatting>
  <conditionalFormatting sqref="E66">
    <cfRule type="expression" dxfId="106" priority="111">
      <formula>IF(OR(D5="Politieke jongerenbeweging",D5="Studentenvereniging",D5="Jeugdcultuurorganisator",D5="Fiscale attesten"),1)</formula>
    </cfRule>
  </conditionalFormatting>
  <conditionalFormatting sqref="E70">
    <cfRule type="expression" dxfId="105" priority="110">
      <formula>IF(OR(D5="Politieke jongerenbeweging",D5="Studentenvereniging",D5="Jeugdcultuurorganisator",D5="Fiscale attesten"),1)</formula>
    </cfRule>
  </conditionalFormatting>
  <conditionalFormatting sqref="E71">
    <cfRule type="expression" dxfId="104" priority="107">
      <formula>IF(OR(D5="Politieke jongerenbeweging",D5="Studentenvereniging",D5="Jeugdcultuurorganisator",D5="Fiscale attesten"),1)</formula>
    </cfRule>
  </conditionalFormatting>
  <conditionalFormatting sqref="E71:E76 E81">
    <cfRule type="expression" dxfId="103" priority="40">
      <formula>IF(E71="",1)</formula>
    </cfRule>
  </conditionalFormatting>
  <conditionalFormatting sqref="E72">
    <cfRule type="expression" dxfId="102" priority="109">
      <formula>IF(OR(D5="Politieke jongerenbeweging",D5="Studentenvereniging",D5="Jeugdcultuurorganisator",D5="Fiscale attesten"),1)</formula>
    </cfRule>
  </conditionalFormatting>
  <conditionalFormatting sqref="E73">
    <cfRule type="expression" dxfId="101" priority="44">
      <formula>IF(OR(D5="Politieke jongerenbeweging",D5="Studentenvereniging",D5="Jeugdcultuurorganisator",D5="Fiscale attesten"),1)</formula>
    </cfRule>
  </conditionalFormatting>
  <conditionalFormatting sqref="E74">
    <cfRule type="expression" dxfId="100" priority="43">
      <formula>IF(OR(D5="Politieke jongerenbeweging",D5="Studentenvereniging",D5="Jeugdcultuurorganisator",D5="Fiscale attesten"),1)</formula>
    </cfRule>
  </conditionalFormatting>
  <conditionalFormatting sqref="E75">
    <cfRule type="expression" dxfId="99" priority="42">
      <formula>IF(OR(D5="Politieke jongerenbeweging",D5="Studentenvereniging",D5="Jeugdcultuurorganisator",D5="Fiscale attesten"),1)</formula>
    </cfRule>
  </conditionalFormatting>
  <conditionalFormatting sqref="E76">
    <cfRule type="expression" dxfId="98" priority="41">
      <formula>IF(OR(D5="Politieke jongerenbeweging",D5="Studentenvereniging",D5="Jeugdcultuurorganisator",D5="Fiscale attesten"),1)</formula>
    </cfRule>
  </conditionalFormatting>
  <conditionalFormatting sqref="E79">
    <cfRule type="expression" dxfId="97" priority="14">
      <formula>IF(OR(D5="Politieke jongerenbeweging",D5="Studentenvereniging",D5="Jeugdcultuurorganisator",D5="Fiscale attesten"),1)</formula>
    </cfRule>
  </conditionalFormatting>
  <conditionalFormatting sqref="E80">
    <cfRule type="expression" dxfId="96" priority="13">
      <formula>IF(OR(D5="Politieke jongerenbeweging",D5="Studentenvereniging",D5="Jeugdcultuurorganisator",D5="Fiscale attesten"),1)</formula>
    </cfRule>
  </conditionalFormatting>
  <conditionalFormatting sqref="E81">
    <cfRule type="expression" dxfId="95" priority="16">
      <formula>IF(OR(D15="Politieke jongerenbeweging",D15="Studentenvereniging",D15="Jeugdcultuurorganisator",D15="Fiscale attesten"),1)</formula>
    </cfRule>
  </conditionalFormatting>
  <conditionalFormatting sqref="I10">
    <cfRule type="expression" dxfId="94" priority="260">
      <formula>IF(OR($D$5="Politieke jongerenbeweging",D1048546="Jeugdcultuurorganisator",$D$5="Fiscale attesten",$D$5="Samenwerkingsovereenkomsten"),1,"")</formula>
    </cfRule>
  </conditionalFormatting>
  <conditionalFormatting sqref="I11">
    <cfRule type="expression" dxfId="93" priority="264">
      <formula>IF(OR($D$5="Politieke jongerenbeweging",$D$5="Studentenvereniging",D1048547="Jeugdcultuurorganisator",$D$5="Fiscale attesten",$D$5="Samenwerkingsovereenkomsten"),1,"")</formula>
    </cfRule>
  </conditionalFormatting>
  <conditionalFormatting sqref="I13">
    <cfRule type="expression" dxfId="92" priority="263">
      <formula>IF(OR($D$5="Politieke jongerenbeweging",$D$5="Studentenvereniging",D1048549="Jeugdcultuurorganisator",$D$5="Fiscale attesten",$D$5="Samenwerkingsovereenkomsten"),1,"")</formula>
    </cfRule>
  </conditionalFormatting>
  <conditionalFormatting sqref="I20">
    <cfRule type="expression" dxfId="91" priority="262">
      <formula>IF(OR($D$5="Politieke jongerenbeweging",$D$5="Studentenvereniging",D1048556="Jeugdcultuurorganisator",$D$5="Fiscale attesten",$D$5="Samenwerkingsovereenkomsten"),1,"")</formula>
    </cfRule>
  </conditionalFormatting>
  <conditionalFormatting sqref="I36">
    <cfRule type="expression" dxfId="90" priority="261">
      <formula>IF(OR($D$5="Politieke jongerenbeweging",$D$5="Studentenvereniging",D1048572="Jeugdcultuurorganisator",$D$5="Fiscale attesten",$D$5="Samenwerkingsovereenkomsten"),1,"")</formula>
    </cfRule>
  </conditionalFormatting>
  <conditionalFormatting sqref="I53">
    <cfRule type="expression" dxfId="89" priority="22">
      <formula>IF(OR(D5="Politieke jongerenbeweging",D5="Studentenvereniging",D5="Jeugdcultuurorganisator",D5="Fiscale attesten"),1)</formula>
    </cfRule>
  </conditionalFormatting>
  <conditionalFormatting sqref="I56">
    <cfRule type="expression" dxfId="88" priority="273">
      <formula>IF(OR(D5="Politieke jongerenbeweging",D5="Studentenvereniging",D5="Jeugdcultuurorganisator",D5="Fiscale attesten"),1)</formula>
    </cfRule>
  </conditionalFormatting>
  <conditionalFormatting sqref="I57:I60">
    <cfRule type="expression" dxfId="87" priority="269">
      <formula>IF(OR($D$5="Politieke jongerenbeweging",$D$5="Studentenvereniging",D7="Jeugdcultuurorganisator",$D$5="Fiscale attesten"),1,"")</formula>
    </cfRule>
  </conditionalFormatting>
  <conditionalFormatting sqref="I67">
    <cfRule type="expression" dxfId="86" priority="127">
      <formula>IF(OR($D$5="Politieke jongerenbeweging",$D$5="Studentenvereniging",D20="Jeugdcultuurorganisator",$D$5="Fiscale attesten"),1,"")</formula>
    </cfRule>
  </conditionalFormatting>
  <conditionalFormatting sqref="I71">
    <cfRule type="expression" dxfId="85" priority="52">
      <formula>IF(OR(D5="Politieke jongerenbeweging",D5="Studentenvereniging",D5="Jeugdcultuurorganisator",D5="Fiscale attesten"),1)</formula>
    </cfRule>
  </conditionalFormatting>
  <conditionalFormatting sqref="I71:I76">
    <cfRule type="expression" dxfId="84" priority="35">
      <formula>IF(E71="",1)</formula>
    </cfRule>
  </conditionalFormatting>
  <conditionalFormatting sqref="I72">
    <cfRule type="expression" dxfId="83" priority="54">
      <formula>IF(OR(D5="Politieke jongerenbeweging",D5="Studentenvereniging",D5="Jeugdcultuurorganisator",D5="Fiscale attesten"),1)</formula>
    </cfRule>
  </conditionalFormatting>
  <conditionalFormatting sqref="I73">
    <cfRule type="expression" dxfId="82" priority="39">
      <formula>IF(OR(D5="Politieke jongerenbeweging",D5="Studentenvereniging",D5="Jeugdcultuurorganisator",D5="Fiscale attesten"),1)</formula>
    </cfRule>
  </conditionalFormatting>
  <conditionalFormatting sqref="I74">
    <cfRule type="expression" dxfId="81" priority="38">
      <formula>IF(OR(D5="Politieke jongerenbeweging",D5="Studentenvereniging",D5="Jeugdcultuurorganisator",D5="Fiscale attesten"),1)</formula>
    </cfRule>
  </conditionalFormatting>
  <conditionalFormatting sqref="I75">
    <cfRule type="expression" dxfId="80" priority="37">
      <formula>IF(OR(D5="Politieke jongerenbeweging",D5="Studentenvereniging",D5="Jeugdcultuurorganisator",D5="Fiscale attesten"),1)</formula>
    </cfRule>
  </conditionalFormatting>
  <conditionalFormatting sqref="I76">
    <cfRule type="expression" dxfId="79" priority="36">
      <formula>IF(OR(D5="Politieke jongerenbeweging",D5="Studentenvereniging",D5="Jeugdcultuurorganisator",D5="Fiscale attesten"),1)</formula>
    </cfRule>
  </conditionalFormatting>
  <conditionalFormatting sqref="I81">
    <cfRule type="expression" dxfId="78" priority="11">
      <formula>IF(OR($D$5="Politieke jongerenbeweging",$D$5="Studentenvereniging",D34="Jeugdcultuurorganisator",$D$5="Fiscale attesten"),1,"")</formula>
    </cfRule>
  </conditionalFormatting>
  <conditionalFormatting sqref="I82">
    <cfRule type="expression" dxfId="77" priority="29">
      <formula>IF(OR(D5="Politieke jongerenbeweging",D5="Studentenvereniging",D5="Jeugdcultuurorganisator",D5="Fiscale attesten"),1)</formula>
    </cfRule>
  </conditionalFormatting>
  <conditionalFormatting sqref="J11:J18">
    <cfRule type="expression" dxfId="76" priority="133">
      <formula>IF(D11="",1)</formula>
    </cfRule>
  </conditionalFormatting>
  <conditionalFormatting sqref="J18">
    <cfRule type="expression" dxfId="75" priority="200">
      <formula>IF($E$18&gt;40,1)</formula>
    </cfRule>
  </conditionalFormatting>
  <conditionalFormatting sqref="J19">
    <cfRule type="expression" dxfId="74" priority="199">
      <formula>IF($E$19&gt;2,1)</formula>
    </cfRule>
    <cfRule type="expression" dxfId="73" priority="177">
      <formula>IF(D18="",1)</formula>
    </cfRule>
  </conditionalFormatting>
  <conditionalFormatting sqref="J20">
    <cfRule type="expression" dxfId="72" priority="198">
      <formula>IF($E$20&gt;40,1)</formula>
    </cfRule>
  </conditionalFormatting>
  <conditionalFormatting sqref="J22">
    <cfRule type="expression" dxfId="71" priority="59">
      <formula>IF(D5="Jeugdcultuurvereniging",IF(E22&gt;80,1,""))</formula>
    </cfRule>
  </conditionalFormatting>
  <conditionalFormatting sqref="J23">
    <cfRule type="expression" dxfId="70" priority="65">
      <formula>IF($E$23&gt;5,1)</formula>
    </cfRule>
  </conditionalFormatting>
  <conditionalFormatting sqref="J24">
    <cfRule type="expression" dxfId="69" priority="64">
      <formula>IF($E$24&gt;10,1)</formula>
    </cfRule>
  </conditionalFormatting>
  <conditionalFormatting sqref="J24:J25">
    <cfRule type="expression" dxfId="68" priority="92">
      <formula>IF(D24="",1)</formula>
    </cfRule>
  </conditionalFormatting>
  <conditionalFormatting sqref="J29:J30">
    <cfRule type="expression" dxfId="67" priority="90">
      <formula>IF(D29="",1)</formula>
    </cfRule>
  </conditionalFormatting>
  <conditionalFormatting sqref="J32:J33 J35:J36">
    <cfRule type="expression" dxfId="66" priority="160">
      <formula>IF(D32="",1)</formula>
    </cfRule>
  </conditionalFormatting>
  <conditionalFormatting sqref="J33">
    <cfRule type="expression" dxfId="65" priority="83">
      <formula>IF($E$33&gt;20,1)</formula>
    </cfRule>
    <cfRule type="expression" dxfId="64" priority="61">
      <formula>IF(D5="Jeugdhuis",IF(J33&gt;20,1,""),IF(J33&gt;5,1,""))</formula>
    </cfRule>
  </conditionalFormatting>
  <conditionalFormatting sqref="J36">
    <cfRule type="expression" dxfId="63" priority="80">
      <formula>IF($E$36&gt;3,1)</formula>
    </cfRule>
  </conditionalFormatting>
  <conditionalFormatting sqref="J37">
    <cfRule type="expression" dxfId="62" priority="79">
      <formula>IF($E$37&gt;3,1)</formula>
    </cfRule>
    <cfRule type="expression" dxfId="61" priority="89">
      <formula>IF(D37="",1)</formula>
    </cfRule>
  </conditionalFormatting>
  <conditionalFormatting sqref="J38">
    <cfRule type="expression" dxfId="60" priority="88">
      <formula>IF($E$38&gt;6,1)</formula>
    </cfRule>
    <cfRule type="expression" dxfId="59" priority="78">
      <formula>IF(D38="",1)</formula>
    </cfRule>
  </conditionalFormatting>
  <conditionalFormatting sqref="J39">
    <cfRule type="expression" dxfId="58" priority="176">
      <formula>IF($E$39&gt;6,1)</formula>
    </cfRule>
  </conditionalFormatting>
  <conditionalFormatting sqref="J39:J41 J44:J46 J49:J52 J20:J23 J26:J28 J31 J34">
    <cfRule type="expression" dxfId="57" priority="77">
      <formula>IF(D20="",1)</formula>
    </cfRule>
  </conditionalFormatting>
  <conditionalFormatting sqref="J40">
    <cfRule type="expression" dxfId="56" priority="76">
      <formula>IF($E$40&gt;3,1)</formula>
    </cfRule>
  </conditionalFormatting>
  <conditionalFormatting sqref="J41">
    <cfRule type="expression" dxfId="55" priority="75">
      <formula>IF($E$41&gt;1,1)</formula>
    </cfRule>
  </conditionalFormatting>
  <conditionalFormatting sqref="J42">
    <cfRule type="expression" dxfId="54" priority="87">
      <formula>IF(D42="",1)</formula>
    </cfRule>
    <cfRule type="expression" dxfId="53" priority="74">
      <formula>IF($E$42&gt;3,1)</formula>
    </cfRule>
  </conditionalFormatting>
  <conditionalFormatting sqref="J44">
    <cfRule type="expression" dxfId="52" priority="73">
      <formula>IF($E$44&gt;6,1)</formula>
    </cfRule>
  </conditionalFormatting>
  <conditionalFormatting sqref="J45">
    <cfRule type="expression" dxfId="51" priority="72">
      <formula>IF($E$45&gt;6,1)</formula>
    </cfRule>
  </conditionalFormatting>
  <conditionalFormatting sqref="J46">
    <cfRule type="expression" dxfId="50" priority="71">
      <formula>IF($E$46&gt;1,1)</formula>
    </cfRule>
  </conditionalFormatting>
  <conditionalFormatting sqref="J48">
    <cfRule type="expression" dxfId="49" priority="70">
      <formula>IF($E$48&gt;3,1)</formula>
    </cfRule>
    <cfRule type="expression" dxfId="48" priority="86">
      <formula>IF(D48="",1)</formula>
    </cfRule>
  </conditionalFormatting>
  <conditionalFormatting sqref="J49">
    <cfRule type="expression" dxfId="47" priority="69">
      <formula>IF($E$49&gt;3,1)</formula>
    </cfRule>
  </conditionalFormatting>
  <conditionalFormatting sqref="J50">
    <cfRule type="expression" dxfId="46" priority="68">
      <formula>IF($E$50&gt;3,1)</formula>
    </cfRule>
  </conditionalFormatting>
  <conditionalFormatting sqref="J51">
    <cfRule type="expression" dxfId="45" priority="67">
      <formula>IF($E$51&gt;3,1)</formula>
    </cfRule>
  </conditionalFormatting>
  <conditionalFormatting sqref="J52">
    <cfRule type="expression" dxfId="44" priority="66">
      <formula>IF($E$52&gt;3,1)</formula>
    </cfRule>
  </conditionalFormatting>
  <conditionalFormatting sqref="J56">
    <cfRule type="expression" dxfId="43" priority="149">
      <formula>IF(OR(D5="Politieke jongerenbeweging",D5="Studentenvereniging",D5="Jeugdcultuurorganisator",D5="Fiscale attesten"),1)</formula>
    </cfRule>
  </conditionalFormatting>
  <conditionalFormatting sqref="J57">
    <cfRule type="expression" dxfId="42" priority="148">
      <formula>IF(OR(D5="Politieke jongerenbeweging",D5="Studentenvereniging",D5="Jeugdcultuurorganisator",D5="Fiscale attesten"),1)</formula>
    </cfRule>
  </conditionalFormatting>
  <conditionalFormatting sqref="J58">
    <cfRule type="expression" dxfId="41" priority="147">
      <formula>IF(OR(D5="Politieke jongerenbeweging",D5="Studentenvereniging",D5="Jeugdcultuurorganisator",D5="Fiscale attesten"),1)</formula>
    </cfRule>
  </conditionalFormatting>
  <conditionalFormatting sqref="J59">
    <cfRule type="expression" dxfId="40" priority="146">
      <formula>IF(OR(D5="Politieke jongerenbeweging",D5="Studentenvereniging",D5="Jeugdcultuurorganisator",D5="Fiscale attesten"),1)</formula>
    </cfRule>
  </conditionalFormatting>
  <conditionalFormatting sqref="J60">
    <cfRule type="expression" dxfId="39" priority="145">
      <formula>IF(OR(D5="Politieke jongerenbeweging",D5="Studentenvereniging",D5="Jeugdcultuurorganisator",D5="Fiscale attesten"),1)</formula>
    </cfRule>
  </conditionalFormatting>
  <conditionalFormatting sqref="J64">
    <cfRule type="expression" dxfId="38" priority="139">
      <formula>IF(OR(D5="Politieke jongerenbeweging",D5="Studentenvereniging",D5="Jeugdcultuurorganisator",D5="Fiscale attesten"),1)</formula>
    </cfRule>
  </conditionalFormatting>
  <conditionalFormatting sqref="J65">
    <cfRule type="expression" dxfId="37" priority="138">
      <formula>IF(OR(D5="Politieke jongerenbeweging",D5="Studentenvereniging",D5="Jeugdcultuurorganisator",D5="Fiscale attesten"),1)</formula>
    </cfRule>
  </conditionalFormatting>
  <conditionalFormatting sqref="J66 J63">
    <cfRule type="expression" dxfId="36" priority="137">
      <formula>IF(OR(D5="Politieke jongerenbeweging",D5="Studentenvereniging",D5="Jeugdcultuurorganisator",D5="Fiscale attesten"),1)</formula>
    </cfRule>
  </conditionalFormatting>
  <conditionalFormatting sqref="J66">
    <cfRule type="expression" dxfId="35" priority="85">
      <formula>IF(OR(D5="Politieke jongerenbeweging",D5="Studentenvereniging",D5="Jeugdcultuurorganisator",D5="Fiscale attesten"),1)</formula>
    </cfRule>
  </conditionalFormatting>
  <conditionalFormatting sqref="J70">
    <cfRule type="expression" dxfId="34" priority="115">
      <formula>IF(OR(D12="Politieke jongerenbeweging",D12="Studentenvereniging",D12="Jeugdcultuurorganisator",D12="Fiscale attesten"),1)</formula>
    </cfRule>
    <cfRule type="expression" dxfId="33" priority="84">
      <formula>IF(OR(D5="Politieke jongerenbeweging",D5="Studentenvereniging",D5="Jeugdcultuurorganisator",D5="Fiscale attesten"),1)</formula>
    </cfRule>
  </conditionalFormatting>
  <conditionalFormatting sqref="J71">
    <cfRule type="expression" dxfId="32" priority="34">
      <formula>IF(OR(D5="Politieke jongerenbeweging",D5="Studentenvereniging",D5="Jeugdcultuurorganisator",D5="Fiscale attesten"),1)</formula>
    </cfRule>
  </conditionalFormatting>
  <conditionalFormatting sqref="J71:J76 J81">
    <cfRule type="expression" dxfId="31" priority="30">
      <formula>IF(J71="",1)</formula>
    </cfRule>
  </conditionalFormatting>
  <conditionalFormatting sqref="J72">
    <cfRule type="expression" dxfId="30" priority="386">
      <formula>IF(OR(D5="Politieke jongerenbeweging",D5="Studentenvereniging",D5="Jeugdcultuurorganisator",D5="Fiscale attesten"),1)</formula>
    </cfRule>
  </conditionalFormatting>
  <conditionalFormatting sqref="J73">
    <cfRule type="expression" dxfId="29" priority="105">
      <formula>IF(OR(D5="Politieke jongerenbeweging",D5="Studentenvereniging",D5="Jeugdcultuurorganisator",D5="Fiscale attesten"),1)</formula>
    </cfRule>
  </conditionalFormatting>
  <conditionalFormatting sqref="J74">
    <cfRule type="expression" dxfId="28" priority="33">
      <formula>IF(OR(D5="Politieke jongerenbeweging",D5="Studentenvereniging",D5="Jeugdcultuurorganisator",D5="Fiscale attesten"),1)</formula>
    </cfRule>
  </conditionalFormatting>
  <conditionalFormatting sqref="J75">
    <cfRule type="expression" dxfId="27" priority="32">
      <formula>IF(OR(D5="Politieke jongerenbeweging",D5="Studentenvereniging",D5="Jeugdcultuurorganisator",D5="Fiscale attesten"),1)</formula>
    </cfRule>
  </conditionalFormatting>
  <conditionalFormatting sqref="J76">
    <cfRule type="expression" dxfId="26" priority="31">
      <formula>IF(OR(D5="Politieke jongerenbeweging",D5="Studentenvereniging",D5="Jeugdcultuurorganisator",D5="Fiscale attesten"),1)</formula>
    </cfRule>
  </conditionalFormatting>
  <conditionalFormatting sqref="J79">
    <cfRule type="expression" dxfId="25" priority="9">
      <formula>IF(OR(D5="Politieke jongerenbeweging",D5="Studentenvereniging",D5="Jeugdcultuurorganisator",D5="Fiscale attesten"),1)</formula>
    </cfRule>
  </conditionalFormatting>
  <conditionalFormatting sqref="J80">
    <cfRule type="expression" dxfId="24" priority="10">
      <formula>IF(OR(D5="Politieke jongerenbeweging",D5="Studentenvereniging",D5="Jeugdcultuurorganisator",D5="Fiscale attesten"),1)</formula>
    </cfRule>
  </conditionalFormatting>
  <conditionalFormatting sqref="J81">
    <cfRule type="expression" dxfId="23" priority="394">
      <formula>IF(OR(D7="Politieke jongerenbeweging",D7="Studentenvereniging",D7="Jeugdcultuurorganisator",D7="Fiscale attesten"),1)</formula>
    </cfRule>
  </conditionalFormatting>
  <conditionalFormatting sqref="N10">
    <cfRule type="expression" dxfId="22" priority="204">
      <formula>IF(OR($D$5="Politieke jongerenbeweging",I1048546="Jeugdcultuurorganisator",$D$5="Fiscale attesten",$D$5="Samenwerkingsovereenkomsten"),1,"")</formula>
    </cfRule>
  </conditionalFormatting>
  <conditionalFormatting sqref="N11">
    <cfRule type="expression" dxfId="21" priority="208">
      <formula>IF(OR($D$5="Politieke jongerenbeweging",$D$5="Studentenvereniging",I1048547="Jeugdcultuurorganisator",$D$5="Fiscale attesten",$D$5="Samenwerkingsovereenkomsten"),1,"")</formula>
    </cfRule>
  </conditionalFormatting>
  <conditionalFormatting sqref="N13">
    <cfRule type="expression" dxfId="20" priority="207">
      <formula>IF(OR($D$5="Politieke jongerenbeweging",$D$5="Studentenvereniging",I1048549="Jeugdcultuurorganisator",$D$5="Fiscale attesten",$D$5="Samenwerkingsovereenkomsten"),1,"")</formula>
    </cfRule>
  </conditionalFormatting>
  <conditionalFormatting sqref="N20">
    <cfRule type="expression" dxfId="19" priority="206">
      <formula>IF(OR($D$5="Politieke jongerenbeweging",$D$5="Studentenvereniging",I1048556="Jeugdcultuurorganisator",$D$5="Fiscale attesten",$D$5="Samenwerkingsovereenkomsten"),1,"")</formula>
    </cfRule>
  </conditionalFormatting>
  <conditionalFormatting sqref="N36">
    <cfRule type="expression" dxfId="18" priority="205">
      <formula>IF(OR($D$5="Politieke jongerenbeweging",$D$5="Studentenvereniging",I1048572="Jeugdcultuurorganisator",$D$5="Fiscale attesten",$D$5="Samenwerkingsovereenkomsten"),1,"")</formula>
    </cfRule>
  </conditionalFormatting>
  <conditionalFormatting sqref="N53">
    <cfRule type="expression" dxfId="17" priority="21">
      <formula>IF(OR(D5="Politieke jongerenbeweging",D5="Studentenvereniging",D5="Jeugdcultuurorganisator",D5="Fiscale attesten"),1)</formula>
    </cfRule>
  </conditionalFormatting>
  <conditionalFormatting sqref="N54">
    <cfRule type="expression" dxfId="16" priority="116">
      <formula>IF(OR($D$5="Politieke jongerenbeweging",$D$5="Studentenvereniging",I6="Jeugdcultuurorganisator",$D$5="Fiscale attesten"),1,"")</formula>
    </cfRule>
  </conditionalFormatting>
  <conditionalFormatting sqref="N56">
    <cfRule type="expression" dxfId="15" priority="144">
      <formula>IF(OR(I5="Politieke jongerenbeweging",I5="Studentenvereniging",I5="Jeugdcultuurorganisator",I5="Fiscale attesten"),1)</formula>
    </cfRule>
  </conditionalFormatting>
  <conditionalFormatting sqref="N57:N60">
    <cfRule type="expression" dxfId="14" priority="140">
      <formula>IF(OR($D$5="Politieke jongerenbeweging",$D$5="Studentenvereniging",I7="Jeugdcultuurorganisator",$D$5="Fiscale attesten"),1,"")</formula>
    </cfRule>
  </conditionalFormatting>
  <conditionalFormatting sqref="N61">
    <cfRule type="expression" dxfId="13" priority="117">
      <formula>IF(OR($D$5="Politieke jongerenbeweging",$D$5="Studentenvereniging",I13="Jeugdcultuurorganisator",$D$5="Fiscale attesten"),1,"")</formula>
    </cfRule>
  </conditionalFormatting>
  <conditionalFormatting sqref="N67">
    <cfRule type="expression" dxfId="12" priority="119">
      <formula>IF(OR($D$5="Politieke jongerenbeweging",$D$5="Studentenvereniging",I20="Jeugdcultuurorganisator",$D$5="Fiscale attesten"),1,"")</formula>
    </cfRule>
  </conditionalFormatting>
  <conditionalFormatting sqref="N68">
    <cfRule type="expression" dxfId="11" priority="383">
      <formula>IF(OR($D$5="Politieke jongerenbeweging",$D$5="Studentenvereniging",I20="Jeugdcultuurorganisator",$D$5="Fiscale attesten"),1,"")</formula>
    </cfRule>
  </conditionalFormatting>
  <conditionalFormatting sqref="N70">
    <cfRule type="expression" dxfId="10" priority="272">
      <formula>IF(OR($D$5="Politieke jongerenbeweging",$D$5="Studentenvereniging",I20="Jeugdcultuurorganisator",$D$5="Fiscale attesten"),1,"")</formula>
    </cfRule>
  </conditionalFormatting>
  <conditionalFormatting sqref="N77">
    <cfRule type="expression" dxfId="9" priority="12">
      <formula>IF(OR($D$5="Politieke jongerenbeweging",$D$5="Studentenvereniging",I29="Jeugdcultuurorganisator",$D$5="Fiscale attesten"),1,"")</formula>
    </cfRule>
  </conditionalFormatting>
  <conditionalFormatting sqref="N81">
    <cfRule type="expression" dxfId="8" priority="8">
      <formula>IF(OR($D$5="Politieke jongerenbeweging",$D$5="Studentenvereniging",I34="Jeugdcultuurorganisator",$D$5="Fiscale attesten"),1,"")</formula>
    </cfRule>
  </conditionalFormatting>
  <conditionalFormatting sqref="N82">
    <cfRule type="expression" dxfId="7" priority="23">
      <formula>IF(OR(D5="Politieke jongerenbeweging",D5="Studentenvereniging",D5="Jeugdcultuurorganisator",D5="Fiscale attesten"),1)</formula>
    </cfRule>
  </conditionalFormatting>
  <conditionalFormatting sqref="N71:O71">
    <cfRule type="expression" dxfId="6" priority="48">
      <formula>IF(OR(D5="Politieke jongerenbeweging",D5="Studentenvereniging",D5="Jeugdcultuurorganisator",D5="Fiscale attesten"),1)</formula>
    </cfRule>
  </conditionalFormatting>
  <conditionalFormatting sqref="N71:O76">
    <cfRule type="expression" dxfId="5" priority="7">
      <formula>IF(J71="",1)</formula>
    </cfRule>
  </conditionalFormatting>
  <conditionalFormatting sqref="N72:O72">
    <cfRule type="expression" dxfId="4" priority="50">
      <formula>IF(OR(D5="Politieke jongerenbeweging",D5="Studentenvereniging",D5="Jeugdcultuurorganisator",D5="Fiscale attesten"),1)</formula>
    </cfRule>
  </conditionalFormatting>
  <conditionalFormatting sqref="N73:O73">
    <cfRule type="expression" dxfId="3" priority="28">
      <formula>IF(OR(D5="Politieke jongerenbeweging",D5="Studentenvereniging",D5="Jeugdcultuurorganisator",D5="Fiscale attesten"),1)</formula>
    </cfRule>
  </conditionalFormatting>
  <conditionalFormatting sqref="N74:O74">
    <cfRule type="expression" dxfId="2" priority="27">
      <formula>IF(OR(D5="Politieke jongerenbeweging",D5="Studentenvereniging",D5="Jeugdcultuurorganisator",D5="Fiscale attesten"),1)</formula>
    </cfRule>
  </conditionalFormatting>
  <conditionalFormatting sqref="N75:O75">
    <cfRule type="expression" dxfId="1" priority="26">
      <formula>IF(OR(D5="Politieke jongerenbeweging",D5="Studentenvereniging",D5="Jeugdcultuurorganisator",D5="Fiscale attesten"),1)</formula>
    </cfRule>
  </conditionalFormatting>
  <conditionalFormatting sqref="N76:O76">
    <cfRule type="expression" dxfId="0" priority="25">
      <formula>IF(OR(D5="Politieke jongerenbeweging",D5="Studentenvereniging",D5="Jeugdcultuurorganisator",D5="Fiscale attesten"),1)</formula>
    </cfRule>
  </conditionalFormatting>
  <dataValidations count="1">
    <dataValidation type="list" allowBlank="1" showInputMessage="1" showErrorMessage="1" sqref="E70 J70" xr:uid="{F3ED15F1-64AF-4414-9ED9-5A49A2E3BD53}">
      <formula1>"Ja,Nee"</formula1>
    </dataValidation>
  </dataValidations>
  <pageMargins left="0.7" right="0.7" top="0.75" bottom="0.75" header="0.3" footer="0.3"/>
  <pageSetup paperSize="9" orientation="portrait" r:id="rId1"/>
  <ignoredErrors>
    <ignoredError sqref="I56 I10:I11 I20 I36 J63:J66 N67 I67 J56:J60 N56:N60 N36 N20 N10:N19 I58:I60 J11:J42 J48:J52 J44:J46 E71:E72 I71:I73 I74:I76 N71:N76 E75:E76 J75:J76 J73 J71 J72 J74 E73:E74" unlockedFormula="1"/>
    <ignoredError sqref="F12 G15:G16 G18 F19 F33 F41 K12 L15:L16 L18 K19 K33 K4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80B79D7172DA4295F231C30EEA0A39" ma:contentTypeVersion="21" ma:contentTypeDescription="Een nieuw document maken." ma:contentTypeScope="" ma:versionID="f5cbf0e42bb517c582d2eb0245fc2ab6">
  <xsd:schema xmlns:xsd="http://www.w3.org/2001/XMLSchema" xmlns:xs="http://www.w3.org/2001/XMLSchema" xmlns:p="http://schemas.microsoft.com/office/2006/metadata/properties" xmlns:ns2="21ff92d8-7823-4c7d-beb9-1dc286ac9f90" xmlns:ns3="4ca3c874-5791-4790-91a9-3a7efafafd91" xmlns:ns4="8001be72-2f23-4373-9c8d-3d0057a496ad" xmlns:ns5="7d483c3e-13c3-45cd-aae4-afb0d0b56746" targetNamespace="http://schemas.microsoft.com/office/2006/metadata/properties" ma:root="true" ma:fieldsID="98b78d4b155c106652ab9dc840c340c5" ns2:_="" ns3:_="" ns4:_="" ns5:_="">
    <xsd:import namespace="21ff92d8-7823-4c7d-beb9-1dc286ac9f90"/>
    <xsd:import namespace="4ca3c874-5791-4790-91a9-3a7efafafd91"/>
    <xsd:import namespace="8001be72-2f23-4373-9c8d-3d0057a496ad"/>
    <xsd:import namespace="7d483c3e-13c3-45cd-aae4-afb0d0b56746"/>
    <xsd:element name="properties">
      <xsd:complexType>
        <xsd:sequence>
          <xsd:element name="documentManagement">
            <xsd:complexType>
              <xsd:all>
                <xsd:element ref="ns2:Jaar" minOccurs="0"/>
                <xsd:element ref="ns3:oa64400a1555417f93119bcd5bea37ac" minOccurs="0"/>
                <xsd:element ref="ns4:TaxCatchAll" minOccurs="0"/>
                <xsd:element ref="ns4:TaxCatchAllLabel" minOccurs="0"/>
                <xsd:element ref="ns3:k6ab6e1e1e7f465492ac600223c4d62b" minOccurs="0"/>
                <xsd:element ref="ns5:Status" minOccurs="0"/>
                <xsd:element ref="ns5:MediaServiceMetadata" minOccurs="0"/>
                <xsd:element ref="ns5:MediaServiceFastMetadata" minOccurs="0"/>
                <xsd:element ref="ns5:MediaServiceAutoKeyPoints" minOccurs="0"/>
                <xsd:element ref="ns5:MediaServiceKeyPoints" minOccurs="0"/>
                <xsd:element ref="ns3:Subsidietype"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3:SharedWithUsers" minOccurs="0"/>
                <xsd:element ref="ns3:SharedWithDetails" minOccurs="0"/>
                <xsd:element ref="ns5:MediaServiceLocation" minOccurs="0"/>
                <xsd:element ref="ns5:lcf76f155ced4ddcb4097134ff3c332f"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f92d8-7823-4c7d-beb9-1dc286ac9f90" elementFormDefault="qualified">
    <xsd:import namespace="http://schemas.microsoft.com/office/2006/documentManagement/types"/>
    <xsd:import namespace="http://schemas.microsoft.com/office/infopath/2007/PartnerControls"/>
    <xsd:element name="Jaar" ma:index="8" nillable="true" ma:displayName="Jaar" ma:internalName="Ja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a3c874-5791-4790-91a9-3a7efafafd91" elementFormDefault="qualified">
    <xsd:import namespace="http://schemas.microsoft.com/office/2006/documentManagement/types"/>
    <xsd:import namespace="http://schemas.microsoft.com/office/infopath/2007/PartnerControls"/>
    <xsd:element name="oa64400a1555417f93119bcd5bea37ac" ma:index="9" nillable="true" ma:taxonomy="true" ma:internalName="oa64400a1555417f93119bcd5bea37ac" ma:taxonomyFieldName="Vereniging" ma:displayName="Vereniging" ma:indexed="true" ma:default="" ma:fieldId="{8a64400a-1555-417f-9311-9bcd5bea37ac}" ma:sspId="3789918e-9956-46f3-906f-da93263865d0" ma:termSetId="8854e4a5-2bab-4278-8d1d-f233dadfa185" ma:anchorId="00000000-0000-0000-0000-000000000000" ma:open="true" ma:isKeyword="false">
      <xsd:complexType>
        <xsd:sequence>
          <xsd:element ref="pc:Terms" minOccurs="0" maxOccurs="1"/>
        </xsd:sequence>
      </xsd:complexType>
    </xsd:element>
    <xsd:element name="k6ab6e1e1e7f465492ac600223c4d62b" ma:index="13" nillable="true" ma:taxonomy="true" ma:internalName="k6ab6e1e1e7f465492ac600223c4d62b" ma:taxonomyFieldName="Documenttype_x0028_s_x0029_" ma:displayName="Documenttype" ma:indexed="true" ma:default="" ma:fieldId="{46ab6e1e-1e7f-4654-92ac-600223c4d62b}" ma:sspId="3789918e-9956-46f3-906f-da93263865d0" ma:termSetId="7007f89a-7d93-4806-a4c8-228466b981be" ma:anchorId="00000000-0000-0000-0000-000000000000" ma:open="true" ma:isKeyword="false">
      <xsd:complexType>
        <xsd:sequence>
          <xsd:element ref="pc:Terms" minOccurs="0" maxOccurs="1"/>
        </xsd:sequence>
      </xsd:complexType>
    </xsd:element>
    <xsd:element name="Subsidietype" ma:index="20" nillable="true" ma:displayName="Subsidietype" ma:format="RadioButtons" ma:internalName="Subsidietype">
      <xsd:simpleType>
        <xsd:union memberTypes="dms:Text">
          <xsd:simpleType>
            <xsd:restriction base="dms:Choice">
              <xsd:enumeration value="Renovatie"/>
              <xsd:enumeration value="Werking"/>
              <xsd:enumeration value="Project"/>
              <xsd:enumeration value="SWO"/>
              <xsd:enumeration value="Kaderopleiding Individueel"/>
            </xsd:restriction>
          </xsd:simpleType>
        </xsd:union>
      </xsd:simple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01be72-2f23-4373-9c8d-3d0057a496a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d383877-68b0-4d7c-943c-9808b686ff91}" ma:internalName="TaxCatchAll" ma:showField="CatchAllData" ma:web="4ca3c874-5791-4790-91a9-3a7efafafd9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d383877-68b0-4d7c-943c-9808b686ff91}" ma:internalName="TaxCatchAllLabel" ma:readOnly="true" ma:showField="CatchAllDataLabel" ma:web="4ca3c874-5791-4790-91a9-3a7efafafd9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483c3e-13c3-45cd-aae4-afb0d0b56746" elementFormDefault="qualified">
    <xsd:import namespace="http://schemas.microsoft.com/office/2006/documentManagement/types"/>
    <xsd:import namespace="http://schemas.microsoft.com/office/infopath/2007/PartnerControls"/>
    <xsd:element name="Status" ma:index="15" nillable="true" ma:displayName="Status" ma:format="Dropdown" ma:internalName="Status">
      <xsd:simpleType>
        <xsd:restriction base="dms:Choice">
          <xsd:enumeration value="Aanvraag"/>
          <xsd:enumeration value="Afgesloten"/>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Location" ma:index="28" nillable="true" ma:displayName="Location" ma:internalName="MediaServiceLocation" ma:readOnly="true">
      <xsd:simpleType>
        <xsd:restriction base="dms:Text"/>
      </xsd:simpleType>
    </xsd:element>
    <xsd:element name="lcf76f155ced4ddcb4097134ff3c332f" ma:index="30" nillable="true" ma:taxonomy="true" ma:internalName="lcf76f155ced4ddcb4097134ff3c332f" ma:taxonomyFieldName="MediaServiceImageTags" ma:displayName="Afbeeldingtags" ma:readOnly="false" ma:fieldId="{5cf76f15-5ced-4ddc-b409-7134ff3c332f}" ma:taxonomyMulti="true" ma:sspId="3789918e-9956-46f3-906f-da93263865d0" ma:termSetId="09814cd3-568e-fe90-9814-8d621ff8fb84" ma:anchorId="fba54fb3-c3e1-fe81-a776-ca4b69148c4d" ma:open="true" ma:isKeyword="false">
      <xsd:complexType>
        <xsd:sequence>
          <xsd:element ref="pc:Terms" minOccurs="0" maxOccurs="1"/>
        </xsd:sequence>
      </xsd:complexType>
    </xsd:element>
    <xsd:element name="MediaLengthInSeconds" ma:index="31" nillable="true" ma:displayName="MediaLengthInSeconds" ma:hidden="true" ma:internalName="MediaLengthInSeconds" ma:readOnly="true">
      <xsd:simpleType>
        <xsd:restriction base="dms:Unknown"/>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aar xmlns="21ff92d8-7823-4c7d-beb9-1dc286ac9f90" xsi:nil="true"/>
    <TaxCatchAll xmlns="8001be72-2f23-4373-9c8d-3d0057a496ad" xsi:nil="true"/>
    <k6ab6e1e1e7f465492ac600223c4d62b xmlns="4ca3c874-5791-4790-91a9-3a7efafafd91">
      <Terms xmlns="http://schemas.microsoft.com/office/infopath/2007/PartnerControls"/>
    </k6ab6e1e1e7f465492ac600223c4d62b>
    <lcf76f155ced4ddcb4097134ff3c332f xmlns="7d483c3e-13c3-45cd-aae4-afb0d0b56746">
      <Terms xmlns="http://schemas.microsoft.com/office/infopath/2007/PartnerControls"/>
    </lcf76f155ced4ddcb4097134ff3c332f>
    <Subsidietype xmlns="4ca3c874-5791-4790-91a9-3a7efafafd91" xsi:nil="true"/>
    <oa64400a1555417f93119bcd5bea37ac xmlns="4ca3c874-5791-4790-91a9-3a7efafafd91">
      <Terms xmlns="http://schemas.microsoft.com/office/infopath/2007/PartnerControls"/>
    </oa64400a1555417f93119bcd5bea37ac>
    <Status xmlns="7d483c3e-13c3-45cd-aae4-afb0d0b56746" xsi:nil="true"/>
  </documentManagement>
</p:properties>
</file>

<file path=customXml/itemProps1.xml><?xml version="1.0" encoding="utf-8"?>
<ds:datastoreItem xmlns:ds="http://schemas.openxmlformats.org/officeDocument/2006/customXml" ds:itemID="{E32CD0EB-D33A-4A0F-AF36-DDC95EF77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f92d8-7823-4c7d-beb9-1dc286ac9f90"/>
    <ds:schemaRef ds:uri="4ca3c874-5791-4790-91a9-3a7efafafd91"/>
    <ds:schemaRef ds:uri="8001be72-2f23-4373-9c8d-3d0057a496ad"/>
    <ds:schemaRef ds:uri="7d483c3e-13c3-45cd-aae4-afb0d0b56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7F899A-9BC4-490D-9C13-0D274365EBBA}">
  <ds:schemaRefs>
    <ds:schemaRef ds:uri="http://schemas.microsoft.com/sharepoint/v3/contenttype/forms"/>
  </ds:schemaRefs>
</ds:datastoreItem>
</file>

<file path=customXml/itemProps3.xml><?xml version="1.0" encoding="utf-8"?>
<ds:datastoreItem xmlns:ds="http://schemas.openxmlformats.org/officeDocument/2006/customXml" ds:itemID="{82A4C2DB-7C81-4CBC-B420-1226BB79C35C}">
  <ds:schemaRefs>
    <ds:schemaRef ds:uri="http://purl.org/dc/elements/1.1/"/>
    <ds:schemaRef ds:uri="7d483c3e-13c3-45cd-aae4-afb0d0b56746"/>
    <ds:schemaRef ds:uri="21ff92d8-7823-4c7d-beb9-1dc286ac9f90"/>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8001be72-2f23-4373-9c8d-3d0057a496ad"/>
    <ds:schemaRef ds:uri="4ca3c874-5791-4790-91a9-3a7efafafd9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Invulblad</vt:lpstr>
      <vt:lpstr>Simulator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Nauwynck</dc:creator>
  <cp:keywords/>
  <dc:description/>
  <cp:lastModifiedBy>Niels Vercruysse</cp:lastModifiedBy>
  <cp:revision/>
  <dcterms:created xsi:type="dcterms:W3CDTF">2022-05-31T14:38:32Z</dcterms:created>
  <dcterms:modified xsi:type="dcterms:W3CDTF">2025-09-15T14:47:34Z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0x0101003280B79D7172DA4295F231C30EEA0A39</vt:lpwstr>
  </property>
  <property fmtid="{D5CDD505-2E9C-101B-9397-08002B2CF9AE}" pid="3" name="MediaServiceImageTags">
    <vt:lpwstr/>
  </property>
  <property fmtid="{D5CDD505-2E9C-101B-9397-08002B2CF9AE}" pid="4" name="Documenttype(s)">
    <vt:lpwstr/>
  </property>
  <property fmtid="{D5CDD505-2E9C-101B-9397-08002B2CF9AE}" pid="5" name="Documenttype_x0028_s_x0029_">
    <vt:lpwstr/>
  </property>
</Properties>
</file>